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oYKCnru9hqeBKUCjwoD1eMpMk0GGm6hvqzRagYZN1Cf5ZYdYT2ynWt0voDiTTfYEUWMRVx0ihvRlS9pW21XgA==" workbookSaltValue="byrKrvBqFjgT8m7HI5G8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L32" i="20"/>
  <c r="H32" i="20"/>
  <c r="F32" i="20"/>
  <c r="G26" i="14"/>
  <c r="K32" i="20"/>
  <c r="AQ32" i="21"/>
  <c r="AJ32" i="20"/>
  <c r="G30" i="14"/>
  <c r="AX32" i="20"/>
  <c r="AG32" i="20"/>
  <c r="T32" i="21"/>
  <c r="AF32" i="20"/>
  <c r="S32" i="20"/>
  <c r="O17" i="11"/>
  <c r="BF17" i="8" l="1"/>
  <c r="AL21" i="11"/>
  <c r="L17" i="14"/>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AL32" i="20"/>
  <c r="X32" i="20"/>
  <c r="AA32" i="20"/>
  <c r="AN32" i="20"/>
  <c r="AD32" i="20"/>
  <c r="AC32" i="20"/>
  <c r="AV32" i="20"/>
  <c r="O10" i="11"/>
  <c r="AP32" i="20"/>
  <c r="U17" i="11"/>
  <c r="W32" i="21"/>
  <c r="AQ32" i="20"/>
  <c r="AB32" i="20"/>
  <c r="AH32" i="20"/>
  <c r="T32" i="20"/>
  <c r="K17" i="12" l="1"/>
  <c r="I10" i="12"/>
  <c r="I16" i="12"/>
  <c r="K9" i="12"/>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AP16" i="20"/>
  <c r="R25" i="14"/>
  <c r="V20" i="11"/>
  <c r="BL25" i="11"/>
  <c r="Q25" i="11" s="1"/>
  <c r="BG19" i="11"/>
  <c r="AZ9" i="11"/>
  <c r="BL29" i="11"/>
  <c r="P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<sst xmlns="http://schemas.openxmlformats.org/spreadsheetml/2006/main" count="2682" uniqueCount="1193">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</sst>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LYwWmD7kGPKl6iOpHAhjlt+FkFxUdYu1PbCkpHBripyiXVJ+TMIBsJW+3bTYeAFs+6EiEbX4njIVCraJUnqYA==" saltValue="2KGV/Irfecx64aZEWs/A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5</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17.743150684931507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218</v>
      </c>
      <c r="D17" s="239">
        <f>IF(ISNUMBER(IF(D_I="SI",Datos!I17,Datos!I17+Datos!AC17)),IF(D_I="SI",Datos!I17,Datos!I17+Datos!AC17)," - ")</f>
        <v>218</v>
      </c>
      <c r="E17" s="240">
        <f>IF(ISNUMBER(IF(D_I="SI",Datos!J17,Datos!J17+Datos!AD17)),IF(D_I="SI",Datos!J17,Datos!J17+Datos!AD17)," - ")</f>
        <v>203</v>
      </c>
      <c r="F17" s="240">
        <f>IF(ISNUMBER(IF(D_I="SI",Datos!K17,Datos!K17+Datos!AE17)),IF(D_I="SI",Datos!K17,Datos!K17+Datos!AE17)," - ")</f>
        <v>232</v>
      </c>
      <c r="G17" s="1390" t="str">
        <f>IF(Datos!E17&lt;&gt;"",Datos!E17,Datos!D17)</f>
        <v>04</v>
      </c>
      <c r="H17" s="241">
        <f>IF(ISNUMBER(IF(D_I="SI",Datos!L17,Datos!L17+Datos!AF17)),IF(D_I="SI",Datos!L17,Datos!L17+Datos!AF17)," - ")</f>
        <v>189</v>
      </c>
      <c r="I17" s="1400" t="str">
        <f>IF(ISNUMBER(Datos!AS17/Datos!BM17),Datos!AS17/Datos!BM17," - ")</f>
        <v xml:space="preserve"> - </v>
      </c>
      <c r="J17" s="1401">
        <f>IF(ISNUMBER(Datos!BY17/Datos!CN17),Datos!BY17/Datos!CN17," - ")</f>
        <v>0</v>
      </c>
      <c r="K17" s="244">
        <f t="shared" si="3"/>
        <v>-0.13302752293577982</v>
      </c>
      <c r="L17" s="1402">
        <f>IF(ISNUMBER(NºAsuntos!I17/NºAsuntos!G17),(NºAsuntos!I17/NºAsuntos!G17)*11," - ")</f>
        <v>8.9612068965517242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18</v>
      </c>
      <c r="F18" s="240">
        <f>IF(ISNUMBER(IF(D_I="SI",Datos!K18,Datos!K18+Datos!AE18)),IF(D_I="SI",Datos!K18,Datos!K18+Datos!AE18)," - ")</f>
        <v>16</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224</v>
      </c>
      <c r="D23" s="1407">
        <f>SUBTOTAL(9,D16:D22)</f>
        <v>224</v>
      </c>
      <c r="E23" s="1408">
        <f>SUBTOTAL(9,E16:E22)</f>
        <v>221</v>
      </c>
      <c r="F23" s="1408">
        <f>SUBTOTAL(9,F16:F22)</f>
        <v>248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v>
      </c>
      <c r="D31" s="1435">
        <f>SUBTOTAL(9,D9:D30)</f>
        <v>230</v>
      </c>
      <c r="E31" s="1436">
        <f>SUBTOTAL(9,E9:E30)</f>
        <v>226</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GzmfVQqTNizWE2AM37n6K5z/Kxla3e3mptyxKudWuC3mIVV7os99uM2EO+yXDbw8/KzodjVdu/H631TwNPfdg==" saltValue="VHRPZ5a88MrwDY1coJl7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tVEFPJWh0TI2MBHcXoE9giNGDIEmG+lDofL7xXrfG1ay/jFGLCFKxj4rYBFVBEz1iCkakjukRwseKx7HF7UTw==" saltValue="2N58xPLrvxynPZCcyiGp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5</v>
      </c>
      <c r="K10" s="194">
        <v>2</v>
      </c>
      <c r="L10" s="194">
        <v>9</v>
      </c>
      <c r="M10" s="194">
        <v>0</v>
      </c>
      <c r="N10" s="194">
        <v>2</v>
      </c>
      <c r="O10" s="194">
        <v>0</v>
      </c>
      <c r="P10" s="194">
        <v>0</v>
      </c>
      <c r="Q10" s="194">
        <v>0</v>
      </c>
      <c r="R10" s="194">
        <v>0</v>
      </c>
      <c r="S10" s="194">
        <v>5</v>
      </c>
      <c r="T10" s="194">
        <v>1</v>
      </c>
      <c r="U10" s="194">
        <v>1</v>
      </c>
      <c r="V10" s="194">
        <v>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1</v>
      </c>
      <c r="BB10" s="139">
        <f t="shared" si="0"/>
        <v>5</v>
      </c>
      <c r="BC10" s="135">
        <f t="shared" si="0"/>
        <v>1</v>
      </c>
      <c r="BD10" s="136">
        <f>IF(ISNUMBER(BA10/AZ10),BA10/AZ10," - ")</f>
        <v>1</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402</v>
      </c>
      <c r="J12" s="196">
        <v>204</v>
      </c>
      <c r="K12" s="196">
        <v>223</v>
      </c>
      <c r="L12" s="196">
        <v>383</v>
      </c>
      <c r="M12" s="196">
        <v>80</v>
      </c>
      <c r="N12" s="196">
        <v>143</v>
      </c>
      <c r="O12" s="194">
        <v>122</v>
      </c>
      <c r="P12" s="196">
        <v>60</v>
      </c>
      <c r="Q12" s="196">
        <v>38</v>
      </c>
      <c r="R12" s="196">
        <v>772</v>
      </c>
      <c r="S12" s="196">
        <v>427</v>
      </c>
      <c r="T12" s="196">
        <v>234</v>
      </c>
      <c r="U12" s="196">
        <v>248</v>
      </c>
      <c r="V12" s="196">
        <v>349</v>
      </c>
      <c r="W12" s="196">
        <v>78</v>
      </c>
      <c r="X12" s="202">
        <v>119</v>
      </c>
      <c r="Y12" s="204">
        <v>114</v>
      </c>
      <c r="Z12" s="194">
        <v>43</v>
      </c>
      <c r="AA12" s="194">
        <v>69</v>
      </c>
      <c r="AB12" s="194">
        <v>88</v>
      </c>
      <c r="AC12" s="196">
        <v>0</v>
      </c>
      <c r="AD12" s="196">
        <v>0</v>
      </c>
      <c r="AE12" s="196">
        <v>0</v>
      </c>
      <c r="AF12" s="202">
        <v>0</v>
      </c>
      <c r="AG12" s="215">
        <v>90</v>
      </c>
      <c r="AH12" s="196">
        <v>44</v>
      </c>
      <c r="AI12" s="196">
        <v>70</v>
      </c>
      <c r="AJ12" s="216">
        <v>93</v>
      </c>
      <c r="AK12" s="195">
        <v>0</v>
      </c>
      <c r="AL12" s="196">
        <v>0</v>
      </c>
      <c r="AM12" s="196">
        <v>0</v>
      </c>
      <c r="AN12" s="202">
        <v>0</v>
      </c>
      <c r="AO12" s="283">
        <v>2</v>
      </c>
      <c r="AP12" s="168">
        <v>2</v>
      </c>
      <c r="AQ12" s="168">
        <v>2</v>
      </c>
      <c r="AR12" s="167">
        <v>2</v>
      </c>
      <c r="AS12" s="381" t="s">
        <v>1075</v>
      </c>
      <c r="AT12" s="216"/>
      <c r="AU12" s="215"/>
      <c r="AV12" s="216"/>
      <c r="AW12" s="215"/>
      <c r="AX12" s="216"/>
      <c r="AY12" s="136">
        <f t="shared" si="1"/>
        <v>517</v>
      </c>
      <c r="AZ12" s="137">
        <f t="shared" si="1"/>
        <v>278</v>
      </c>
      <c r="BA12" s="137">
        <f t="shared" si="1"/>
        <v>318</v>
      </c>
      <c r="BB12" s="137">
        <f t="shared" si="1"/>
        <v>442</v>
      </c>
      <c r="BC12" s="135">
        <f>IF(ISNUMBER(X12),X12," - ")</f>
        <v>119</v>
      </c>
      <c r="BD12" s="136">
        <f t="shared" si="2"/>
        <v>1.1438848920863309</v>
      </c>
      <c r="BE12" s="137">
        <f t="shared" si="3"/>
        <v>1.3899371069182389</v>
      </c>
      <c r="BF12" s="137">
        <f t="shared" si="4"/>
        <v>0.37421383647798739</v>
      </c>
      <c r="BG12" s="209">
        <f t="shared" si="5"/>
        <v>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408</v>
      </c>
      <c r="J14" s="197">
        <f t="shared" si="7"/>
        <v>209</v>
      </c>
      <c r="K14" s="197">
        <f t="shared" si="7"/>
        <v>225</v>
      </c>
      <c r="L14" s="197">
        <f t="shared" si="7"/>
        <v>392</v>
      </c>
      <c r="M14" s="197">
        <f t="shared" si="7"/>
        <v>80</v>
      </c>
      <c r="N14" s="197">
        <f t="shared" si="7"/>
        <v>145</v>
      </c>
      <c r="O14" s="197">
        <f t="shared" si="7"/>
        <v>122</v>
      </c>
      <c r="P14" s="197">
        <f t="shared" si="7"/>
        <v>60</v>
      </c>
      <c r="Q14" s="197">
        <f t="shared" si="7"/>
        <v>38</v>
      </c>
      <c r="R14" s="197">
        <f t="shared" si="7"/>
        <v>772</v>
      </c>
      <c r="S14" s="197">
        <f t="shared" si="7"/>
        <v>432</v>
      </c>
      <c r="T14" s="197">
        <f t="shared" si="7"/>
        <v>235</v>
      </c>
      <c r="U14" s="197">
        <f t="shared" si="7"/>
        <v>249</v>
      </c>
      <c r="V14" s="197">
        <f t="shared" si="7"/>
        <v>354</v>
      </c>
      <c r="W14" s="197">
        <f t="shared" si="7"/>
        <v>79</v>
      </c>
      <c r="X14" s="197">
        <f t="shared" si="7"/>
        <v>119</v>
      </c>
      <c r="Y14" s="197">
        <f t="shared" si="7"/>
        <v>114</v>
      </c>
      <c r="Z14" s="197">
        <f t="shared" si="7"/>
        <v>43</v>
      </c>
      <c r="AA14" s="197">
        <f t="shared" si="7"/>
        <v>69</v>
      </c>
      <c r="AB14" s="197">
        <f t="shared" si="7"/>
        <v>88</v>
      </c>
      <c r="AC14" s="197">
        <f t="shared" si="7"/>
        <v>0</v>
      </c>
      <c r="AD14" s="197">
        <f t="shared" si="7"/>
        <v>0</v>
      </c>
      <c r="AE14" s="197">
        <f t="shared" si="7"/>
        <v>0</v>
      </c>
      <c r="AF14" s="197">
        <f>SUBTOTAL(9,AF9:AF13)</f>
        <v>0</v>
      </c>
      <c r="AG14" s="197">
        <f t="shared" ref="AG14:AT14" si="8">SUBTOTAL(9,AG8:AG13)</f>
        <v>90</v>
      </c>
      <c r="AH14" s="197">
        <f t="shared" si="8"/>
        <v>44</v>
      </c>
      <c r="AI14" s="197">
        <f t="shared" si="8"/>
        <v>70</v>
      </c>
      <c r="AJ14" s="197">
        <f t="shared" si="8"/>
        <v>93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522</v>
      </c>
      <c r="AZ14" s="197">
        <f>SUBTOTAL(9,AZ8:AZ13)</f>
        <v>279</v>
      </c>
      <c r="BA14" s="197">
        <f>SUBTOTAL(9,BA8:BA13)</f>
        <v>319</v>
      </c>
      <c r="BB14" s="197">
        <f>SUBTOTAL(9,BB8:BB13)</f>
        <v>447</v>
      </c>
      <c r="BC14" s="197">
        <f>SUBTOTAL(9,BC8:BC13)</f>
        <v>120</v>
      </c>
      <c r="BD14" s="219">
        <f>IF(ISNUMBER(BA14/AZ14),BA14/AZ14," - ")</f>
        <v>1.1433691756272402</v>
      </c>
      <c r="BE14" s="220">
        <f>IF(ISNUMBER(BB14/BA14),BB14/BA14, " - ")</f>
        <v>1.4012539184952979</v>
      </c>
      <c r="BF14" s="220">
        <f>IF(ISNUMBER(BC14/BA14),BC14/BA14, " - ")</f>
        <v>0.37617554858934171</v>
      </c>
      <c r="BG14" s="221">
        <f>IF(ISNUMBER((AY14+AZ14)/BA14),(AY14+AZ14)/BA14," - ")</f>
        <v>2.5109717868338559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218</v>
      </c>
      <c r="J17" s="196">
        <v>203</v>
      </c>
      <c r="K17" s="196">
        <v>232</v>
      </c>
      <c r="L17" s="196">
        <v>189</v>
      </c>
      <c r="M17" s="196">
        <v>42</v>
      </c>
      <c r="N17" s="196">
        <v>137</v>
      </c>
      <c r="O17" s="194">
        <v>6</v>
      </c>
      <c r="P17" s="196">
        <v>8</v>
      </c>
      <c r="Q17" s="196">
        <v>7</v>
      </c>
      <c r="R17" s="196">
        <v>30</v>
      </c>
      <c r="S17" s="196">
        <v>237</v>
      </c>
      <c r="T17" s="196">
        <v>128</v>
      </c>
      <c r="U17" s="196">
        <v>180</v>
      </c>
      <c r="V17" s="196">
        <v>177</v>
      </c>
      <c r="W17" s="196">
        <v>30</v>
      </c>
      <c r="X17" s="202">
        <v>95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237</v>
      </c>
      <c r="AZ17" s="137">
        <f t="shared" si="10"/>
        <v>128</v>
      </c>
      <c r="BA17" s="137">
        <f t="shared" si="10"/>
        <v>180</v>
      </c>
      <c r="BB17" s="137">
        <f t="shared" si="10"/>
        <v>177</v>
      </c>
      <c r="BC17" s="135">
        <f>IF(ISNUMBER(W17),W17," - ")</f>
        <v>30</v>
      </c>
      <c r="BD17" s="136">
        <f t="shared" ref="BD17:BD22" si="12">IF(ISNUMBER(BA17/AZ17),BA17/AZ17," - ")</f>
        <v>1.40625</v>
      </c>
      <c r="BE17" s="137">
        <f t="shared" ref="BE17:BE22" si="13">IF(ISNUMBER(BB17/BA17),BB17/BA17, " - ")</f>
        <v>0.98333333333333328</v>
      </c>
      <c r="BF17" s="137">
        <f t="shared" ref="BF17:BF22" si="14">IF(ISNUMBER(BC17/BA17),BC17/BA17, " - ")</f>
        <v>0.16666666666666666</v>
      </c>
      <c r="BG17" s="209">
        <f t="shared" si="11"/>
        <v>2.0277777777777777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18</v>
      </c>
      <c r="K18" s="196">
        <v>16</v>
      </c>
      <c r="L18" s="196">
        <v>8</v>
      </c>
      <c r="M18" s="196">
        <v>2</v>
      </c>
      <c r="N18" s="196">
        <v>12</v>
      </c>
      <c r="O18" s="196">
        <v>0</v>
      </c>
      <c r="P18" s="196">
        <v>0</v>
      </c>
      <c r="Q18" s="196">
        <v>0</v>
      </c>
      <c r="R18" s="196">
        <v>2</v>
      </c>
      <c r="S18" s="196">
        <v>11</v>
      </c>
      <c r="T18" s="196">
        <v>16</v>
      </c>
      <c r="U18" s="196">
        <v>23</v>
      </c>
      <c r="V18" s="196">
        <v>4</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16</v>
      </c>
      <c r="BA18" s="139">
        <f t="shared" si="15"/>
        <v>23</v>
      </c>
      <c r="BB18" s="139">
        <f t="shared" si="15"/>
        <v>4</v>
      </c>
      <c r="BC18" s="135">
        <f>IF(ISNUMBER(W18),W18," - ")</f>
        <v>2</v>
      </c>
      <c r="BD18" s="136">
        <f>IF(ISNUMBER(BA18/AZ18),BA18/AZ18," - ")</f>
        <v>1.4375</v>
      </c>
      <c r="BE18" s="137">
        <f>IF(ISNUMBER(BB18/BA18),BB18/BA18, " - ")</f>
        <v>0.17391304347826086</v>
      </c>
      <c r="BF18" s="137">
        <f>IF(ISNUMBER(BC18/BA18),BC18/BA18, " - ")</f>
        <v>8.6956521739130432E-2</v>
      </c>
      <c r="BG18" s="209">
        <f>IF(ISNUMBER((AY18+AZ18)/BA18),(AY18+AZ18)/BA18," - ")</f>
        <v>1.173913043478261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v>
      </c>
      <c r="J23" s="197">
        <f t="shared" si="21"/>
        <v>221</v>
      </c>
      <c r="K23" s="197">
        <f t="shared" si="21"/>
        <v>248</v>
      </c>
      <c r="L23" s="197">
        <f t="shared" si="21"/>
        <v>197</v>
      </c>
      <c r="M23" s="197">
        <f t="shared" si="21"/>
        <v>44</v>
      </c>
      <c r="N23" s="197">
        <f t="shared" si="21"/>
        <v>149</v>
      </c>
      <c r="O23" s="197">
        <f t="shared" si="21"/>
        <v>6</v>
      </c>
      <c r="P23" s="197">
        <f t="shared" si="21"/>
        <v>8</v>
      </c>
      <c r="Q23" s="197">
        <f t="shared" si="21"/>
        <v>7</v>
      </c>
      <c r="R23" s="197">
        <f t="shared" si="21"/>
        <v>32</v>
      </c>
      <c r="S23" s="197">
        <f t="shared" si="21"/>
        <v>248</v>
      </c>
      <c r="T23" s="197">
        <f t="shared" si="21"/>
        <v>144</v>
      </c>
      <c r="U23" s="197">
        <f t="shared" si="21"/>
        <v>203</v>
      </c>
      <c r="V23" s="197">
        <f t="shared" si="21"/>
        <v>181</v>
      </c>
      <c r="W23" s="197">
        <f t="shared" si="21"/>
        <v>32</v>
      </c>
      <c r="X23" s="197">
        <f t="shared" si="21"/>
        <v>103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248</v>
      </c>
      <c r="AZ23" s="197">
        <f>SUBTOTAL(9,AZ15:AZ22)</f>
        <v>144</v>
      </c>
      <c r="BA23" s="197">
        <f>SUBTOTAL(9,BA15:BA22)</f>
        <v>203</v>
      </c>
      <c r="BB23" s="197">
        <f>SUBTOTAL(9,BB15:BB22)</f>
        <v>181</v>
      </c>
      <c r="BC23" s="197">
        <f>SUBTOTAL(9,BC15:BC22)</f>
        <v>32</v>
      </c>
      <c r="BD23" s="219">
        <f>IF(ISNUMBER(BA23/AZ23),BA23/AZ23," - ")</f>
        <v>1.4097222222222223</v>
      </c>
      <c r="BE23" s="220">
        <f>IF(ISNUMBER(BB23/BA23),BB23/BA23, " - ")</f>
        <v>0.89162561576354682</v>
      </c>
      <c r="BF23" s="220">
        <f>IF(ISNUMBER(BC23/BA23),BC23/BA23, " - ")</f>
        <v>0.15763546798029557</v>
      </c>
      <c r="BG23" s="221">
        <f>IF(ISNUMBER((AY23+AZ23)/BA23),(AY23+AZ23)/BA23," - ")</f>
        <v>1.9310344827586208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632</v>
      </c>
      <c r="J31" s="144">
        <f t="shared" si="36"/>
        <v>430</v>
      </c>
      <c r="K31" s="144">
        <f t="shared" si="36"/>
        <v>473</v>
      </c>
      <c r="L31" s="144">
        <f t="shared" si="36"/>
        <v>589</v>
      </c>
      <c r="M31" s="144">
        <f t="shared" si="36"/>
        <v>124</v>
      </c>
      <c r="N31" s="144">
        <f t="shared" si="36"/>
        <v>294</v>
      </c>
      <c r="O31" s="144">
        <f t="shared" si="36"/>
        <v>128</v>
      </c>
      <c r="P31" s="144">
        <f t="shared" si="36"/>
        <v>68</v>
      </c>
      <c r="Q31" s="144">
        <f t="shared" si="36"/>
        <v>45</v>
      </c>
      <c r="R31" s="144">
        <f t="shared" si="36"/>
        <v>804</v>
      </c>
      <c r="S31" s="144">
        <f t="shared" si="36"/>
        <v>680</v>
      </c>
      <c r="T31" s="144">
        <f t="shared" si="36"/>
        <v>379</v>
      </c>
      <c r="U31" s="144">
        <f t="shared" si="36"/>
        <v>452</v>
      </c>
      <c r="V31" s="144">
        <f t="shared" si="36"/>
        <v>535</v>
      </c>
      <c r="W31" s="144">
        <f t="shared" si="36"/>
        <v>111</v>
      </c>
      <c r="X31" s="144">
        <f t="shared" si="36"/>
        <v>222</v>
      </c>
      <c r="Y31" s="144">
        <f t="shared" si="36"/>
        <v>114</v>
      </c>
      <c r="Z31" s="144">
        <f t="shared" si="36"/>
        <v>43</v>
      </c>
      <c r="AA31" s="144">
        <f t="shared" si="36"/>
        <v>69</v>
      </c>
      <c r="AB31" s="144">
        <f t="shared" si="36"/>
        <v>88</v>
      </c>
      <c r="AC31" s="144">
        <f t="shared" si="36"/>
        <v>0</v>
      </c>
      <c r="AD31" s="144">
        <f t="shared" si="36"/>
        <v>0</v>
      </c>
      <c r="AE31" s="144">
        <f t="shared" si="36"/>
        <v>0</v>
      </c>
      <c r="AF31" s="144">
        <f t="shared" si="36"/>
        <v>0</v>
      </c>
      <c r="AG31" s="144">
        <f t="shared" si="36"/>
        <v>90</v>
      </c>
      <c r="AH31" s="144">
        <f t="shared" si="36"/>
        <v>44</v>
      </c>
      <c r="AI31" s="144">
        <f t="shared" si="36"/>
        <v>70</v>
      </c>
      <c r="AJ31" s="144">
        <f t="shared" si="36"/>
        <v>93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770</v>
      </c>
      <c r="AZ31" s="144">
        <f>SUBTOTAL(9,AZ9:AZ30)</f>
        <v>423</v>
      </c>
      <c r="BA31" s="144">
        <f>SUBTOTAL(9,BA9:BA30)</f>
        <v>522</v>
      </c>
      <c r="BB31" s="144">
        <f>SUBTOTAL(9,BB9:BB30)</f>
        <v>628</v>
      </c>
      <c r="BC31" s="145">
        <f>SUBTOTAL(9,BC9:BC30)</f>
        <v>152</v>
      </c>
      <c r="BD31" s="227">
        <f>IF(ISNUMBER(BA31/AZ31),BA31/AZ31," - ")</f>
        <v>1.2340425531914894</v>
      </c>
      <c r="BE31" s="224">
        <f>IF(ISNUMBER(BB31/BA31),BB31/BA31, " - ")</f>
        <v>1.2030651340996168</v>
      </c>
      <c r="BF31" s="224">
        <f>IF(ISNUMBER(BC31/BA31),BC31/BA31, " - ")</f>
        <v>0.29118773946360155</v>
      </c>
      <c r="BG31" s="145">
        <f>IF(ISNUMBER((AY31+AZ31)/BA31),(AY31+AZ31)/BA31," - ")</f>
        <v>2.2854406130268199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VuLgu3asvtL6q4NHOcBfJ/5B1ZJxOik5xejQBiWd6WKNbdRavyELsTaq/2fHPQMuP/oFv9fUNj8OsHAxPJgJw==" saltValue="U6NlBQrYtORP3iK+DHsK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6zb4KXkibOSlTy9QSxR+JaDbMh733QLBah0TM4DbDFQiGxkWD2dsC+g/fhQICSQNNa21YiP2NGnQKzFQyBLw==" saltValue="52w8IBNsIxK7l8qGh1A+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BARCO DE VALDEORRAS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772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1.1821862348178138</v>
      </c>
      <c r="BH12" s="764">
        <f>IF(ISNUMBER(((IF(J_V="SI",Datos!L12/Datos!K12,(Datos!L12+Datos!AB12)/(Datos!K12+Datos!AA12)))*11)/factor_trimestre),((IF(J_V="SI",Datos!L12/Datos!K12,(Datos!L12+Datos!AB12)/(Datos!K12+Datos!AA12)))*11)/factor_trimestre," - ")</f>
        <v>4.8390410958904111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2.9333333333333333E-2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38</v>
      </c>
      <c r="AD14" s="1198">
        <f t="shared" si="2"/>
        <v>0</v>
      </c>
      <c r="AE14" s="1198">
        <f t="shared" si="2"/>
        <v>0</v>
      </c>
      <c r="AF14" s="1198">
        <f t="shared" si="2"/>
        <v>9</v>
      </c>
      <c r="AG14" s="1198">
        <f t="shared" si="2"/>
        <v>0</v>
      </c>
      <c r="AH14" s="1198">
        <f t="shared" si="2"/>
        <v>88</v>
      </c>
      <c r="AI14" s="1198">
        <f t="shared" si="2"/>
        <v>0</v>
      </c>
      <c r="AJ14" s="1198">
        <f t="shared" si="2"/>
        <v>0</v>
      </c>
      <c r="AK14" s="1198">
        <f t="shared" si="2"/>
        <v>0</v>
      </c>
      <c r="AL14" s="1198">
        <f t="shared" si="2"/>
        <v>0</v>
      </c>
      <c r="AM14" s="1198">
        <f t="shared" si="2"/>
        <v>772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145</v>
      </c>
      <c r="BE14" s="1198">
        <f t="shared" si="2"/>
        <v>0</v>
      </c>
      <c r="BF14" s="1198">
        <f t="shared" si="2"/>
        <v>0</v>
      </c>
      <c r="BG14" s="1198">
        <f>IF(ISNUMBER(Datos!K14/Datos!J14),Datos!K14/Datos!J14," - ")</f>
        <v>1.0765550239234449</v>
      </c>
      <c r="BH14" s="1202">
        <f>IF(ISNUMBER(((Datos!L14/Datos!K14)*11)/factor_trimestre),((Datos!L14/Datos!K14)*11)/factor_trimestre," - ")</f>
        <v>5.2266666666666666</v>
      </c>
      <c r="BI14" s="1198">
        <f>IF(ISNUMBER('Resol  Asuntos'!D14/NºAsuntos!G14),'Resol  Asuntos'!D14/NºAsuntos!G14," - ")</f>
        <v>0.27210884353741499</v>
      </c>
      <c r="BJ14" s="1198" t="str">
        <f>IF(ISNUMBER(Datos!CI14/Datos!CJ14),Datos!CI14/Datos!CJ14," - ")</f>
        <v xml:space="preserve"> - </v>
      </c>
      <c r="BK14" s="1198">
        <f>SUBTOTAL(9,BK8:BK13)</f>
        <v>0</v>
      </c>
      <c r="BL14" s="1198">
        <f>IF(ISNUMBER((I14-AB14+L14)/(F14)),(I14-AB14+L14)/(F14)," - ")</f>
        <v>-0.33333333333333331</v>
      </c>
      <c r="BM14" s="1203">
        <f>SUBTOTAL(9,BM9:BM13)</f>
        <v>2.9333333333333333E-2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218</v>
      </c>
      <c r="G17" s="743">
        <f>IF(ISNUMBER(IF(D_I="SI",Datos!I17,Datos!I17+Datos!AC17)),IF(D_I="SI",Datos!I17,Datos!I17+Datos!AC17)," - ")</f>
        <v>218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v>
      </c>
      <c r="AC17" s="240">
        <f>IF(ISNUMBER(Datos!Q17),Datos!Q17," - ")</f>
        <v>7</v>
      </c>
      <c r="AD17" s="374"/>
      <c r="AE17" s="562"/>
      <c r="AF17" s="741">
        <f>IF(ISNUMBER(IF(D_I="SI",Datos!L17,Datos!L17+Datos!AF17)),IF(D_I="SI",Datos!L17,Datos!L17+Datos!AF17)," - ")</f>
        <v>189</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42</v>
      </c>
      <c r="BD17" s="243">
        <f>IF(ISNUMBER(Datos!N17),Datos!N17," - ")</f>
        <v>137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1.1428571428571428</v>
      </c>
      <c r="BH17" s="764">
        <f>IF(ISNUMBER(((IF(D_I="SI",Datos!L17/Datos!K17,(Datos!L17+Datos!AF17)/(Datos!K17+Datos!AE17)))*11)/factor_trimestre),((IF(D_I="SI",Datos!L17/Datos!K17,(Datos!L17+Datos!AF17)/(Datos!K17+Datos!AE17)))*11)/factor_trimestre," - ")</f>
        <v>2.4439655172413794</v>
      </c>
      <c r="BI17" s="266">
        <f>IF(ISNUMBER('Resol  Asuntos'!D17/NºAsuntos!G17),'Resol  Asuntos'!D17/NºAsuntos!G17," - ")</f>
        <v>0.18103448275862069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1.5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218</v>
      </c>
      <c r="G23" s="1197">
        <f>SUBTOTAL(9,G16:G22)</f>
        <v>224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248</v>
      </c>
      <c r="AC23" s="1198">
        <f t="shared" si="5"/>
        <v>7</v>
      </c>
      <c r="AD23" s="1198">
        <f t="shared" si="5"/>
        <v>0</v>
      </c>
      <c r="AE23" s="1198">
        <f t="shared" si="5"/>
        <v>0</v>
      </c>
      <c r="AF23" s="1198">
        <f t="shared" si="5"/>
        <v>197</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149</v>
      </c>
      <c r="BE23" s="1198">
        <f t="shared" si="5"/>
        <v>0</v>
      </c>
      <c r="BF23" s="1198">
        <f t="shared" si="5"/>
        <v>0</v>
      </c>
      <c r="BG23" s="1198">
        <f>IF(ISNUMBER(Datos!K23/Datos!J23),Datos!K23/Datos!J23," - ")</f>
        <v>1.1221719457013575</v>
      </c>
      <c r="BH23" s="1202">
        <f>IF(ISNUMBER(((Datos!L23/Datos!K23)*11)/factor_trimestre),((Datos!L23/Datos!K23)*11)/factor_trimestre," - ")</f>
        <v>2.3830645161290325</v>
      </c>
      <c r="BI23" s="1198">
        <f>SUBTOTAL(9,BI16:BI22)</f>
        <v>0.30603448275862066</v>
      </c>
      <c r="BJ23" s="1198">
        <f>SUBTOTAL(9,BJ16:BJ22)</f>
        <v>0</v>
      </c>
      <c r="BK23" s="1198">
        <f>SUBTOTAL(9,BK16:BK22)</f>
        <v>0</v>
      </c>
      <c r="BL23" s="1198">
        <f>IF(ISNUMBER((I23-AB23+L23)/(F23)),(I23-AB23+L23)/(F23)," - ")</f>
        <v>-1.1376146788990826</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224</v>
      </c>
      <c r="G31" s="1117">
        <f t="shared" si="18"/>
        <v>230</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45</v>
      </c>
      <c r="AD31" s="1118">
        <f t="shared" si="19"/>
        <v>0</v>
      </c>
      <c r="AE31" s="1118">
        <f t="shared" si="19"/>
        <v>0</v>
      </c>
      <c r="AF31" s="1125">
        <f t="shared" si="19"/>
        <v>206</v>
      </c>
      <c r="AG31" s="1125">
        <f t="shared" si="19"/>
        <v>0</v>
      </c>
      <c r="AH31" s="1125">
        <f t="shared" si="19"/>
        <v>88</v>
      </c>
      <c r="AI31" s="1125">
        <f t="shared" si="19"/>
        <v>0</v>
      </c>
      <c r="AJ31" s="1118">
        <f t="shared" si="19"/>
        <v>0</v>
      </c>
      <c r="AK31" s="1125">
        <f t="shared" si="19"/>
        <v>0</v>
      </c>
      <c r="AL31" s="1125">
        <f t="shared" si="19"/>
        <v>0</v>
      </c>
      <c r="AM31" s="1125">
        <f t="shared" si="19"/>
        <v>804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v>
      </c>
      <c r="BD31" s="1117">
        <f t="shared" si="19"/>
        <v>294</v>
      </c>
      <c r="BE31" s="1117">
        <f t="shared" si="19"/>
        <v>0</v>
      </c>
      <c r="BF31" s="1127">
        <f t="shared" si="19"/>
        <v>0</v>
      </c>
      <c r="BG31" s="1223">
        <f>IF(ISNUMBER(Datos!K31/Datos!J31),Datos!K31/Datos!J31," - ")</f>
        <v>1.1000000000000001</v>
      </c>
      <c r="BH31" s="1223">
        <f>IF(ISNUMBER(((Datos!L31/Datos!K31)*11)/factor_trimestre),((Datos!L31/Datos!K31)*11)/factor_trimestre," - ")</f>
        <v>3.7357293868921775</v>
      </c>
      <c r="BI31" s="1103">
        <f>IF(ISNUMBER(Datos!J31/Datos!I31),Datos!J31/Datos!I31," - ")</f>
        <v>0.680379746835443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-1.1160714285714286</v>
      </c>
      <c r="BM31" s="1188">
        <f>IF(ISNUMBER((Datos!P31-Datos!Q31+R31)/(Datos!R31-Datos!P31+Datos!Q31-R31)),(Datos!P31-Datos!Q31+R31)/(Datos!R31-Datos!P31+Datos!Q31-R31)," - ")</f>
        <v>2.9449423815621E-2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111.05794283466027</v>
      </c>
      <c r="G33" s="674">
        <f>IF(ISNUMBER(STDEV(G8:G30)),STDEV(G8:G30),"-")</f>
        <v>106.12840380990424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115.38176797463446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35.488428697655401</v>
      </c>
      <c r="BD33" s="673"/>
      <c r="BE33" s="673">
        <f>IF(ISNUMBER(STDEV(BE8:BE30)),STDEV(BE8:BE30),"-")</f>
        <v>0</v>
      </c>
      <c r="BF33" s="678">
        <f>IF(ISNUMBER(STDEV(BF8:BF30)),STDEV(BF8:BF30),"-")</f>
        <v>0</v>
      </c>
      <c r="BG33" s="1052">
        <f>IF(ISNUMBER(STDEV(BG8:BG30)),STDEV(BG8:BG30),"-")</f>
        <v>0.29694541433565963</v>
      </c>
      <c r="BH33" s="1058">
        <f>IF(ISNUMBER(STDEV(BH8:BH30)),STDEV(BH8:BH30),"-")</f>
        <v>4.4262180610610145</v>
      </c>
      <c r="BI33" s="273">
        <f>IF(ISNUMBER(STDEV(BI8:BI30)),STDEV(BI8:BI30),"-")</f>
        <v>8.2978334140332732E-2</v>
      </c>
      <c r="BJ33" s="244" t="str">
        <f>IF(ISNUMBER(BL33/BM33),BL33/BM33," - ")</f>
        <v xml:space="preserve"> - </v>
      </c>
      <c r="BK33" s="709"/>
      <c r="BL33" s="681">
        <f>IF(ISNUMBER(STDEV(BL8:BL30)),STDEV(BL8:BL30),"-")</f>
        <v>0.56871279343138237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VTmTtKcBwpJsbiQIVV0KUYib4P6dPyeXvJu4hrtMf0wddbO12FZAg2Cxx0Q7bVupQQjJlpoDpKOsyVdV+PYsw==" saltValue="CZdtlPLj8zUAg6jKOjob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BARCO DE VALDEORRAS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772</v>
      </c>
      <c r="AF12" s="693" t="str">
        <f>IF(ISNUMBER(Datos!BV12),Datos!BV12," - ")</f>
        <v xml:space="preserve"> - </v>
      </c>
      <c r="AG12" s="552" t="str">
        <f>IF(ISNUMBER(Datos!DV12),Datos!DV12," - ")</f>
        <v xml:space="preserve"> - </v>
      </c>
      <c r="AH12" s="553"/>
      <c r="AI12" s="554"/>
      <c r="AJ12" s="552">
        <f>IF(ISNUMBER(Datos!M12),Datos!M12," - ")</f>
        <v>80</v>
      </c>
      <c r="AK12" s="693">
        <f>IF(ISNUMBER(Datos!N12),Datos!N12," - ")</f>
        <v>143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4.8390410958904111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2.9333333333333333E-2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38</v>
      </c>
      <c r="AA14" s="1199">
        <f t="shared" si="3"/>
        <v>9</v>
      </c>
      <c r="AB14" s="1199">
        <f t="shared" si="3"/>
        <v>0</v>
      </c>
      <c r="AC14" s="1199">
        <f t="shared" si="3"/>
        <v>0</v>
      </c>
      <c r="AD14" s="1199">
        <f t="shared" si="3"/>
        <v>0</v>
      </c>
      <c r="AE14" s="1199">
        <f t="shared" si="3"/>
        <v>772</v>
      </c>
      <c r="AF14" s="1211">
        <f t="shared" si="3"/>
        <v>0</v>
      </c>
      <c r="AG14" s="1211">
        <f t="shared" si="3"/>
        <v>0</v>
      </c>
      <c r="AH14" s="1211">
        <f t="shared" si="3"/>
        <v>0</v>
      </c>
      <c r="AI14" s="1211">
        <f t="shared" si="3"/>
        <v>0</v>
      </c>
      <c r="AJ14" s="1211">
        <f t="shared" si="3"/>
        <v>80</v>
      </c>
      <c r="AK14" s="1211">
        <f t="shared" si="3"/>
        <v>145</v>
      </c>
      <c r="AL14" s="1211">
        <f t="shared" si="3"/>
        <v>0</v>
      </c>
      <c r="AM14" s="1211">
        <f t="shared" si="3"/>
        <v>0</v>
      </c>
      <c r="AN14" s="1211">
        <f t="shared" si="3"/>
        <v>0</v>
      </c>
      <c r="AO14" s="1203">
        <f>IF(ISNUMBER(((NºAsuntos!I14/NºAsuntos!G14)*11)/factor_trimestre),((NºAsuntos!I14/NºAsuntos!G14)*11)/factor_trimestre," - ")</f>
        <v>4.8979591836734704</v>
      </c>
      <c r="AP14" s="1213" t="str">
        <f>IF(ISNUMBER(Datos!CI14/Datos!CJ14),Datos!CI14/Datos!CJ14," - ")</f>
        <v xml:space="preserve"> - </v>
      </c>
      <c r="AQ14" s="1236">
        <f t="shared" ref="AQ14:AV14" si="4">SUBTOTAL(9,AQ9:AQ13)</f>
        <v>0</v>
      </c>
      <c r="AR14" s="1236">
        <f t="shared" si="4"/>
        <v>2.9333333333333333E-2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218</v>
      </c>
      <c r="G17" s="552">
        <f>IF(ISNUMBER(IF(D_I="SI",Datos!I17,Datos!I17+Datos!AC17)),IF(D_I="SI",Datos!I17,Datos!I17+Datos!AC17)," - ")</f>
        <v>218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v>
      </c>
      <c r="Z17" s="805">
        <f>IF(ISNUMBER(Datos!Q17),Datos!Q17," - ")</f>
        <v>7</v>
      </c>
      <c r="AA17" s="551">
        <f>IF(ISNUMBER(IF(D_I="SI",Datos!L17,Datos!L17+Datos!AF17)),IF(D_I="SI",Datos!L17,Datos!L17+Datos!AF17)," - ")</f>
        <v>189</v>
      </c>
      <c r="AB17" s="549"/>
      <c r="AC17" s="549"/>
      <c r="AD17" s="563"/>
      <c r="AE17" s="563">
        <f>IF(ISNUMBER(Datos!R17),Datos!R17," - ")</f>
        <v>30</v>
      </c>
      <c r="AF17" s="693" t="str">
        <f>IF(ISNUMBER(Datos!BV17),Datos!BV17," - ")</f>
        <v xml:space="preserve"> - </v>
      </c>
      <c r="AG17" s="552"/>
      <c r="AH17" s="553"/>
      <c r="AI17" s="554"/>
      <c r="AJ17" s="552">
        <f>IF(ISNUMBER(Datos!M17),Datos!M17," - ")</f>
        <v>42</v>
      </c>
      <c r="AK17" s="693">
        <f>IF(ISNUMBER(Datos!N17),Datos!N17," - ")</f>
        <v>137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2.4439655172413794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218</v>
      </c>
      <c r="G23" s="1197">
        <f>SUBTOTAL(9,G16:G22)</f>
        <v>224</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248</v>
      </c>
      <c r="Z23" s="1240">
        <f t="shared" si="6"/>
        <v>7</v>
      </c>
      <c r="AA23" s="1240">
        <f t="shared" si="6"/>
        <v>197</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44</v>
      </c>
      <c r="AK23" s="1240">
        <f t="shared" si="6"/>
        <v>149</v>
      </c>
      <c r="AL23" s="1240">
        <f t="shared" si="6"/>
        <v>0</v>
      </c>
      <c r="AM23" s="1240">
        <f t="shared" si="6"/>
        <v>0</v>
      </c>
      <c r="AN23" s="1240">
        <f t="shared" si="6"/>
        <v>0</v>
      </c>
      <c r="AO23" s="1242">
        <f>IF(ISNUMBER(((NºAsuntos!I23/NºAsuntos!G23)*11)/factor_trimestre),((NºAsuntos!I23/NºAsuntos!G23)*11)/factor_trimestre," - ")</f>
        <v>2.3830645161290325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224</v>
      </c>
      <c r="G31" s="1117">
        <f t="shared" si="12"/>
        <v>230</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45</v>
      </c>
      <c r="AA31" s="1125">
        <f t="shared" si="13"/>
        <v>206</v>
      </c>
      <c r="AB31" s="1125">
        <f t="shared" si="13"/>
        <v>0</v>
      </c>
      <c r="AC31" s="1125">
        <f t="shared" si="13"/>
        <v>0</v>
      </c>
      <c r="AD31" s="1126">
        <f t="shared" si="13"/>
        <v>0</v>
      </c>
      <c r="AE31" s="1126">
        <f t="shared" si="13"/>
        <v>804</v>
      </c>
      <c r="AF31" s="1127">
        <f t="shared" si="13"/>
        <v>0</v>
      </c>
      <c r="AG31" s="1128">
        <f t="shared" si="13"/>
        <v>0</v>
      </c>
      <c r="AH31" s="1129">
        <f t="shared" si="13"/>
        <v>0</v>
      </c>
      <c r="AI31" s="1127">
        <f t="shared" si="13"/>
        <v>0</v>
      </c>
      <c r="AJ31" s="1117">
        <f t="shared" si="13"/>
        <v>124</v>
      </c>
      <c r="AK31" s="1117">
        <f t="shared" si="13"/>
        <v>294</v>
      </c>
      <c r="AL31" s="1117">
        <f t="shared" si="13"/>
        <v>0</v>
      </c>
      <c r="AM31" s="1130">
        <f t="shared" si="13"/>
        <v>0</v>
      </c>
      <c r="AN31" s="1120">
        <f>IF(ISNUMBER(Datos!K31/Datos!J31),Datos!K31/Datos!J31," - ")</f>
        <v>1.1000000000000001</v>
      </c>
      <c r="AO31" s="1120">
        <f>IF(ISNUMBER(FIND("06",Criterios!A8,1)),(IF(ISNUMBER(((Datos!R31/Datos!Q31)*11)/factor_trimestre),((Datos!R31/Datos!Q31)*11)/factor_trimestre," - ")),(IF(ISNUMBER(((Datos!L31/Datos!K31)*11)/factor_trimestre),((Datos!L31/Datos!K31)*11)/factor_trimestre," - ")))</f>
        <v>3.7357293868921775</v>
      </c>
      <c r="AP31" s="1131" t="str">
        <f>IF(ISNUMBER(Datos!CI31/Datos!CJ31),Datos!CI31/Datos!CJ31," - ")</f>
        <v xml:space="preserve"> - </v>
      </c>
      <c r="AQ31" s="1131">
        <f>IF(OR(ISNUMBER(FIND("01",Criterios!A8,1)),ISNUMBER(FIND("02",Criterios!A8,1)),ISNUMBER(FIND("03",Criterios!A8,1)),ISNUMBER(FIND("04",Criterios!A8,1))),(J31-Y31+K31)/(F31-K31),(I31-Y31+K31)/(F31-K31))</f>
        <v>-1.1160714285714286</v>
      </c>
      <c r="AR31" s="1131">
        <f>IF(ISNUMBER((Datos!P31-Datos!Q31+O31)/(Datos!R31-Datos!P31+Datos!Q31-O31)),(Datos!P31-Datos!Q31+O31)/(Datos!R31-Datos!P31+Datos!Q31-O31)," - ")</f>
        <v>2.9449423815621E-2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111.05794283466027</v>
      </c>
      <c r="G33" s="674">
        <f>IF(ISNUMBER(STDEV(G8:G30)),STDEV(G8:G30),"-")</f>
        <v>106.12840380990424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35.488428697655401</v>
      </c>
      <c r="AK33" s="276"/>
      <c r="AL33" s="276">
        <f>IF(ISNUMBER(STDEV(AL8:AL30)),STDEV(AL8:AL30),"-")</f>
        <v>0</v>
      </c>
      <c r="AM33" s="278">
        <f>IF(ISNUMBER(STDEV(AM8:AM30)),STDEV(AM8:AM30),"-")</f>
        <v>0</v>
      </c>
      <c r="AN33" s="660">
        <f>IF(ISNUMBER(STDEV(AN8:AN30)),STDEV(AN8:AN30),"-")</f>
        <v>0</v>
      </c>
      <c r="AO33" s="661">
        <f>IF(ISNUMBER(STDEV(AO8:AO30)),STDEV(AO8:AO30),"-")</f>
        <v>4.4246198806103738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H9yVZ+qdI39x6gmRgXbQGgkH0ZmZBdIhknRby3nADg/8RlWKpnX5sIG9kFk7xUs9iKYZ9XdesyeOk8ZKigBXg==" saltValue="TuDf41iraTjjFJ9r5bcD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DOLA6uJkT3BT4abp+ZYf11SyCw71gyndV95zGdExD12iQZpmc1wBg8Fyp6kBrdaT3L7cF13pXtfJXIg01se8Q==" saltValue="tqU0hOICxEwux59GFPOE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INxlphmop6gdqCmd4jFGawlzPjYzm+mKsmJ94njdgBqmjArlUVNqka4hSKA8MQ0+Z8kCb0+d+84vMq/wzsCw==" saltValue="Z4wufw3sILpkz8hWV+Ff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BARCO DE VALDEORRAS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0.27210884353741499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0.1924100084861354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0E0UrNKM95OMmUAjMROKjJ+QNnzSKK96ayB0g/vA4h+RXFhzYv3JWfyqdtRfsOKpELi0hiFdWVcMeuyycKfpg==" saltValue="x3d6oXkGGMd2T6LCFZpa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5hnMlJEzLVpdP6KuDMa/PjScnYVEZzUDq5vp2uNM5Oz4ryJO+ufRh5OzGw3EQNjB2gBMF4LhGToqqZ4kBhg==" saltValue="gfHhGTNgHBj2tIcfzFq7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BARCO DE VALDEORRAS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5</v>
      </c>
      <c r="F10" s="452">
        <f>IF(ISNUMBER(E10/B10),E10/B10," - ")</f>
        <v>5</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516</v>
      </c>
      <c r="D12" s="452">
        <f>IF(ISNUMBER(C12/Datos!BH12),C12/Datos!BH12," - ")</f>
        <v>258</v>
      </c>
      <c r="E12" s="451">
        <f>IF(ISNUMBER(IF(J_V="SI",Datos!J12,Datos!J12+Datos!Z12)),IF(J_V="SI",Datos!J12,Datos!J12+Datos!Z12)," - ")</f>
        <v>247</v>
      </c>
      <c r="F12" s="452">
        <f>IF(ISNUMBER(E12/B12),E12/B12," - ")</f>
        <v>123.5</v>
      </c>
      <c r="G12" s="451">
        <f>IF(ISNUMBER(IF(J_V="SI",Datos!K12,Datos!K12+Datos!AA12)),IF(J_V="SI",Datos!K12,Datos!K12+Datos!AA12)," - ")</f>
        <v>292</v>
      </c>
      <c r="H12" s="452">
        <f>IF(ISNUMBER(G12/B12),G12/B12," - ")</f>
        <v>146</v>
      </c>
      <c r="I12" s="451">
        <f>IF(ISNUMBER(IF(J_V="SI",Datos!L12,Datos!L12+Datos!AB12)),IF(J_V="SI",Datos!L12,Datos!L12+Datos!AB12)," - ")</f>
        <v>471</v>
      </c>
      <c r="J12" s="452">
        <f>IF(ISNUMBER(I12/B12),I12/B12," - ")</f>
        <v>235.5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522</v>
      </c>
      <c r="D14" s="1147" t="str">
        <f>IF(ISNUMBER(C14/Datos!BI14),C14/Datos!BI14," - ")</f>
        <v xml:space="preserve"> - </v>
      </c>
      <c r="E14" s="1146">
        <f>SUBTOTAL(9,E8:E13)</f>
        <v>252</v>
      </c>
      <c r="F14" s="1147">
        <f>IF(ISNUMBER(E14/B14),E14/B14," - ")</f>
        <v>126</v>
      </c>
      <c r="G14" s="1146">
        <f>SUBTOTAL(9,G8:G13)</f>
        <v>294</v>
      </c>
      <c r="H14" s="1147">
        <f>IF(ISNUMBER(G14/B14),G14/B14," - ")</f>
        <v>147</v>
      </c>
      <c r="I14" s="1146">
        <f>SUBTOTAL(9,I8:I13)</f>
        <v>480</v>
      </c>
      <c r="J14" s="1147">
        <f>IF(ISNUMBER(I14/B14),I14/B14," - ")</f>
        <v>240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218</v>
      </c>
      <c r="D17" s="452">
        <f>IF(ISNUMBER(C17/Datos!BH17),C17/Datos!BH17," - ")</f>
        <v>109</v>
      </c>
      <c r="E17" s="451">
        <f>IF(ISNUMBER(IF(D_I="SI",Datos!J17,Datos!J17+Datos!AD17)),IF(D_I="SI",Datos!J17,Datos!J17+Datos!AD17)," - ")</f>
        <v>203</v>
      </c>
      <c r="F17" s="452">
        <f>IF(ISNUMBER(E17/B17),E17/B17," - ")</f>
        <v>101.5</v>
      </c>
      <c r="G17" s="451">
        <f>IF(ISNUMBER(IF(D_I="SI",Datos!K17,Datos!K17+Datos!AE17)),IF(D_I="SI",Datos!K17,Datos!K17+Datos!AE17)," - ")</f>
        <v>232</v>
      </c>
      <c r="H17" s="452">
        <f>IF(ISNUMBER(G17/B17),G17/B17," - ")</f>
        <v>116</v>
      </c>
      <c r="I17" s="451">
        <f>IF(ISNUMBER(IF(D_I="SI",Datos!L17,Datos!L17+Datos!AF17)),IF(D_I="SI",Datos!L17,Datos!L17+Datos!AF17)," - ")</f>
        <v>189</v>
      </c>
      <c r="J17" s="452">
        <f>IF(ISNUMBER(I17/B17),I17/B17," - ")</f>
        <v>94.5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18</v>
      </c>
      <c r="F18" s="452">
        <f>IF(ISNUMBER(E18/B18),E18/B18," - ")</f>
        <v>18</v>
      </c>
      <c r="G18" s="451">
        <f>IF(ISNUMBER(IF(D_I="SI",Datos!K18,Datos!K18+Datos!AE18)),IF(D_I="SI",Datos!K18,Datos!K18+Datos!AE18)," - ")</f>
        <v>16</v>
      </c>
      <c r="H18" s="452">
        <f>IF(ISNUMBER(G18/B18),G18/B18," - ")</f>
        <v>16</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224</v>
      </c>
      <c r="D23" s="1147" t="str">
        <f>IF(ISNUMBER(C23/Datos!BI23),C23/Datos!BI23," - ")</f>
        <v xml:space="preserve"> - </v>
      </c>
      <c r="E23" s="1146">
        <f>SUBTOTAL(9,E15:E22)</f>
        <v>221</v>
      </c>
      <c r="F23" s="1147">
        <f>IF(ISNUMBER(E23/B23),E23/B23," - ")</f>
        <v>110.5</v>
      </c>
      <c r="G23" s="1146">
        <f>SUBTOTAL(9,G15:G22)</f>
        <v>248</v>
      </c>
      <c r="H23" s="1147">
        <f>IF(ISNUMBER(G23/B23),G23/B23," - ")</f>
        <v>124</v>
      </c>
      <c r="I23" s="1146">
        <f>SUBTOTAL(9,I15:I22)</f>
        <v>197</v>
      </c>
      <c r="J23" s="1147">
        <f>IF(ISNUMBER(I23/B23),I23/B23," - ")</f>
        <v>98.5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746</v>
      </c>
      <c r="D31" s="1085" t="str">
        <f>IF(ISNUMBER(C31/Datos!BI31),C31/Datos!BI31," - ")</f>
        <v xml:space="preserve"> - </v>
      </c>
      <c r="E31" s="1084">
        <f>SUBTOTAL(9,E9:E30)</f>
        <v>473</v>
      </c>
      <c r="F31" s="1085">
        <f>IF(ISNUMBER(E31/B31),E31/B31," - ")</f>
        <v>236.5</v>
      </c>
      <c r="G31" s="1084">
        <f>SUBTOTAL(9,G9:G30)</f>
        <v>542</v>
      </c>
      <c r="H31" s="1085">
        <f>IF(ISNUMBER(G31/B31),G31/B31," - ")</f>
        <v>271</v>
      </c>
      <c r="I31" s="1084">
        <f>SUBTOTAL(9,I9:I30)</f>
        <v>677</v>
      </c>
      <c r="J31" s="1085">
        <f>IF(ISNUMBER(I31/B31),I31/B31," - ")</f>
        <v>338.5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uBJYMwDvB0t2igsK71BTM0XSIoG79Byy7gQcOyPTQOvxBTC0/fLM9qTbuk+WC4nLiE0O573IDYbJcmIGwbXOw==" saltValue="ZaCzrVwNzzm65gcimIgA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BARCO DE VALDEORRAS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4.8390410958904111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2.9333333333333333E-2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38</v>
      </c>
      <c r="AE14" s="1257">
        <f t="shared" si="1"/>
        <v>0</v>
      </c>
      <c r="AF14" s="1257">
        <f t="shared" si="1"/>
        <v>9</v>
      </c>
      <c r="AG14" s="1257">
        <f t="shared" si="1"/>
        <v>0</v>
      </c>
      <c r="AH14" s="1257">
        <f t="shared" si="1"/>
        <v>772</v>
      </c>
      <c r="AI14" s="1257">
        <f t="shared" si="1"/>
        <v>0</v>
      </c>
      <c r="AJ14" s="1257">
        <f t="shared" si="1"/>
        <v>0</v>
      </c>
      <c r="AK14" s="1257">
        <f t="shared" si="1"/>
        <v>0</v>
      </c>
      <c r="AL14" s="1257">
        <f t="shared" si="1"/>
        <v>80</v>
      </c>
      <c r="AM14" s="1257">
        <f t="shared" si="1"/>
        <v>145</v>
      </c>
      <c r="AN14" s="1257">
        <f t="shared" si="1"/>
        <v>0</v>
      </c>
      <c r="AO14" s="1257">
        <f t="shared" si="1"/>
        <v>0</v>
      </c>
      <c r="AP14" s="1262">
        <f>IF(ISNUMBER(((Datos!L14/Datos!K14)*11)/factor_trimestre),((Datos!L14/Datos!K14)*11)/factor_trimestre," - ")</f>
        <v>5.2266666666666666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2.9333333333333333E-2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2.3830645161290325</v>
      </c>
      <c r="AQ23" s="1262">
        <f>IF(ISNUMBER(((Datos!M23/Datos!L23)*11)/factor_trimestre),((Datos!M23/Datos!L23)*11)/factor_trimestre," - ")</f>
        <v>0.67005076142131981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-9.1575091575091569E-2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38</v>
      </c>
      <c r="AE31" s="1284">
        <f t="shared" si="9"/>
        <v>0</v>
      </c>
      <c r="AF31" s="1285">
        <f t="shared" si="9"/>
        <v>9</v>
      </c>
      <c r="AG31" s="1285">
        <f t="shared" si="9"/>
        <v>0</v>
      </c>
      <c r="AH31" s="1285">
        <f t="shared" si="9"/>
        <v>772</v>
      </c>
      <c r="AI31" s="1285">
        <f t="shared" si="9"/>
        <v>0</v>
      </c>
      <c r="AJ31" s="1286">
        <f t="shared" si="9"/>
        <v>0</v>
      </c>
      <c r="AK31" s="1286">
        <f t="shared" si="9"/>
        <v>0</v>
      </c>
      <c r="AL31" s="1278">
        <f t="shared" si="9"/>
        <v>80</v>
      </c>
      <c r="AM31" s="1278">
        <f t="shared" si="9"/>
        <v>145</v>
      </c>
      <c r="AN31" s="1278">
        <f t="shared" si="9"/>
        <v>0</v>
      </c>
      <c r="AO31" s="1278">
        <f t="shared" si="9"/>
        <v>0</v>
      </c>
      <c r="AP31" s="1278">
        <f>IF(ISNUMBER(((Datos!L31/Datos!K31)*11)/factor_trimestre),((Datos!L31/Datos!K31)*11)/factor_trimestre," - ")</f>
        <v>3.7357293868921775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2.9449423815621E-2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41.311822359545779</v>
      </c>
      <c r="AM33" s="1006"/>
      <c r="AN33" s="1006">
        <f>IF(ISNUMBER(STDEV(AN8:AN30)),STDEV(AN8:AN30),"-")</f>
        <v>0</v>
      </c>
      <c r="AO33" s="1012">
        <f>IF(ISNUMBER(STDEV(AO8:AO30)),STDEV(AO8:AO30),"-")</f>
        <v>0</v>
      </c>
      <c r="AP33" s="1065">
        <f>IF(ISNUMBER(STDEV(AP8:AP30)),STDEV(AP8:AP30),"-")</f>
        <v>4.8417856199070748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564CJ7WEUMcDWnz9UtWw6HQApVgin76u0HIGAk5LUmiqpBVQDg3kBnk7p5TgGkE0nzWzxdSUYCb2vs6ftccGg==" saltValue="mGNNyFoUmXlPZBi81T86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BARCO DE VALDEORRAS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yzBKKvtSObNujPXSn0A1Jjl/OTAogDMPVg29uYLGbPjpbiK2Z/Vu+5oBp4c79o7qnAj56XCwUndsoAHn66e5w==" saltValue="z55BXnFKMsPJ+Vcc9vrR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BARCO DE VALDEORRAS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143</v>
      </c>
      <c r="G12" s="452">
        <f t="shared" si="1"/>
        <v>71.5</v>
      </c>
      <c r="H12" s="451">
        <f>IF(ISNUMBER(Datos!O12),Datos!O12," - ")</f>
        <v>122</v>
      </c>
      <c r="I12" s="452">
        <f t="shared" si="2"/>
        <v>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145</v>
      </c>
      <c r="G14" s="1147">
        <f t="shared" si="1"/>
        <v>48.333333333333336</v>
      </c>
      <c r="H14" s="1146">
        <f>SUBTOTAL(9,H9:H13)</f>
        <v>122</v>
      </c>
      <c r="I14" s="1147">
        <f>IF(ISNUMBER(H14/B14),H14/B14," - ")</f>
        <v>40.666666666666664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42</v>
      </c>
      <c r="E17" s="452">
        <f t="shared" si="3"/>
        <v>21</v>
      </c>
      <c r="F17" s="451">
        <f>IF(ISNUMBER(Datos!N17),Datos!N17," - ")</f>
        <v>137</v>
      </c>
      <c r="G17" s="452">
        <f t="shared" si="4"/>
        <v>68.5</v>
      </c>
      <c r="H17" s="451">
        <f>IF(ISNUMBER(Datos!O17),Datos!O17," - ")</f>
        <v>6</v>
      </c>
      <c r="I17" s="452">
        <f t="shared" si="5"/>
        <v>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149</v>
      </c>
      <c r="G23" s="1147">
        <f t="shared" si="4"/>
        <v>49.666666666666664</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124</v>
      </c>
      <c r="E31" s="1085">
        <f>IF(ISNUMBER(D31/B31),D31/B31," - ")</f>
        <v>62</v>
      </c>
      <c r="F31" s="1084">
        <f>SUBTOTAL(9,F8:F30)</f>
        <v>294</v>
      </c>
      <c r="G31" s="1085">
        <f>IF(ISNUMBER(F31/B31),F31/B31," - ")</f>
        <v>147</v>
      </c>
      <c r="H31" s="1084">
        <f>SUBTOTAL(9,H8:H30)</f>
        <v>128</v>
      </c>
      <c r="I31" s="1085">
        <f>IF(ISNUMBER(H31/B31),H31/B31," - ")</f>
        <v>64</v>
      </c>
    </row>
    <row r="34" spans="1:1">
      <c r="A34" s="439" t="str">
        <f>Criterios!A4</f>
        <v>Fecha Informe: 06 may. 2023</v>
      </c>
    </row>
    <row r="39" spans="1:1">
      <c r="A39" s="462"/>
    </row>
  </sheetData>
  <sheetProtection algorithmName="SHA-512" hashValue="d2boDIxyRw0Nd8WujyUZOV38OtQz4ycvqcFHcUScitt3vlKe5vUUTjNvjvHUBINQKvQ8muzT+mwNDU+GMNtwFA==" saltValue="suYzYaG7bH0dLWnPt7xM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BARCO DE VALDEORRAS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60</v>
      </c>
      <c r="C12" s="489">
        <f>IF(ISNUMBER(Datos!Q12),Datos!Q12," - ")</f>
        <v>38</v>
      </c>
      <c r="D12" s="456">
        <f>IF(ISNUMBER(Datos!R12),Datos!R12," - ")</f>
        <v>772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v>
      </c>
      <c r="C14" s="1150">
        <f>SUBTOTAL(9,C9:C13)</f>
        <v>38</v>
      </c>
      <c r="D14" s="1148">
        <f>SUBTOTAL(9,D9:D13)</f>
        <v>772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7</v>
      </c>
      <c r="D17" s="456">
        <f>IF(ISNUMBER(Datos!R17),Datos!R17," - ")</f>
        <v>30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7</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45</v>
      </c>
      <c r="D31" s="1090">
        <f>SUBTOTAL(9,D8:D30)</f>
        <v>804</v>
      </c>
    </row>
    <row r="32" spans="1:4" ht="7.5" customHeight="1"/>
    <row r="33" spans="1:1" ht="6" customHeight="1"/>
    <row r="34" spans="1:1">
      <c r="A34" s="439" t="str">
        <f>Criterios!A4</f>
        <v>Fecha Informe: 06 may. 2023</v>
      </c>
    </row>
    <row r="39" spans="1:1">
      <c r="A39" s="462"/>
    </row>
  </sheetData>
  <sheetProtection algorithmName="SHA-512" hashValue="qnyG64QLB+Gz5XPRbUBIQfFt0T/BYk2n9t+wH4z4hzJ+NcW0IGao3zoV2xpzQ71Saa/eDHueRqHFM7Cp5TplvA==" saltValue="je+fNvSrQRWekSAEj42v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BARCO DE VALDEORRAS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4</v>
      </c>
      <c r="D10" s="515">
        <f>IF(ISNUMBER((Datos!K10-Datos!U10)/Datos!U10),(Datos!K10-Datos!U10)/Datos!U10," - ")</f>
        <v>1</v>
      </c>
      <c r="E10" s="515">
        <f>IF(ISNUMBER((Datos!L10-Datos!V10)/Datos!V10),(Datos!L10-Datos!V10)/Datos!V10," - ")</f>
        <v>0.8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-0.6</v>
      </c>
      <c r="I10" s="515">
        <f>IF(ISNUMBER(((NºAsuntos!I10/NºAsuntos!G10)-Datos!BE10)/Datos!BE10),((NºAsuntos!I10/NºAsuntos!G10)-Datos!BE10)/Datos!BE10," - ")</f>
        <v>-0.1</v>
      </c>
      <c r="J10" s="521">
        <f>IF(ISNUMBER((('Resol  Asuntos'!D10/NºAsuntos!G10)-Datos!BF10)/Datos!BF10),(('Resol  Asuntos'!D10/NºAsuntos!G10)-Datos!BF10)/Datos!BF10," - ")</f>
        <v>-1</v>
      </c>
      <c r="K10" s="522">
        <f>IF(ISNUMBER((((NºAsuntos!C10+NºAsuntos!E10)/NºAsuntos!G10)-Datos!BG10)/Datos!BG10),(((NºAsuntos!C10+NºAsuntos!E10)/NºAsuntos!G10)-Datos!BG10)/Datos!BG10," - ")</f>
        <v>-8.3333333333333329E-2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-1.9342359767891683E-3</v>
      </c>
      <c r="C12" s="515">
        <f>IF(ISNUMBER(
   IF(J_V="SI",(Datos!J12-Datos!T12)/Datos!T12,(Datos!J12+Datos!Z12-(Datos!T12+Datos!AH12))/(Datos!T12+Datos!AH12))
     ),IF(J_V="SI",(Datos!J12-Datos!T12)/Datos!T12,(Datos!J12+Datos!Z12-(Datos!T12+Datos!AH12))/(Datos!T12+Datos!AH12))," - ")</f>
        <v>-0.11151079136690648</v>
      </c>
      <c r="D12" s="515">
        <f>IF(ISNUMBER(
   IF(J_V="SI",(Datos!K12-Datos!U12)/Datos!U12,(Datos!K12+Datos!AA12-(Datos!U12+Datos!AI12))/(Datos!U12+Datos!AI12))
     ),IF(J_V="SI",(Datos!K12-Datos!U12)/Datos!U12,(Datos!K12+Datos!AA12-(Datos!U12+Datos!AI12))/(Datos!U12+Datos!AI12))," - ")</f>
        <v>-8.1761006289308172E-2</v>
      </c>
      <c r="E12" s="515">
        <f>IF(ISNUMBER(
   IF(J_V="SI",(Datos!L12-Datos!V12)/Datos!V12,(Datos!L12+Datos!AB12-(Datos!V12+Datos!AJ12))/(Datos!V12+Datos!AJ12))
     ),IF(J_V="SI",(Datos!L12-Datos!V12)/Datos!V12,(Datos!L12+Datos!AB12-(Datos!V12+Datos!AJ12))/(Datos!V12+Datos!AJ12))," - ")</f>
        <v>6.561085972850679E-2</v>
      </c>
      <c r="F12" s="515">
        <f>IF(ISNUMBER((Datos!M12-Datos!W12)/Datos!W12),(Datos!M12-Datos!W12)/Datos!W12," - ")</f>
        <v>2.564102564102564E-2</v>
      </c>
      <c r="G12" s="516">
        <f>IF(ISNUMBER((Datos!N12-Datos!X12)/Datos!X12),(Datos!N12-Datos!X12)/Datos!X12," - ")</f>
        <v>0.20168067226890757</v>
      </c>
      <c r="H12" s="514">
        <f>IF(ISNUMBER(((NºAsuntos!G12/NºAsuntos!E12)-Datos!BD12)/Datos!BD12),((NºAsuntos!G12/NºAsuntos!E12)-Datos!BD12)/Datos!BD12," - ")</f>
        <v>3.3483563771547938E-2</v>
      </c>
      <c r="I12" s="515">
        <f>IF(ISNUMBER(((NºAsuntos!I12/NºAsuntos!G12)-Datos!BE12)/Datos!BE12),((NºAsuntos!I12/NºAsuntos!G12)-Datos!BE12)/Datos!BE12," - ")</f>
        <v>0.16049401847145603</v>
      </c>
      <c r="J12" s="521">
        <f>IF(ISNUMBER((('Resol  Asuntos'!D12/NºAsuntos!G12)-Datos!BF12)/Datos!BF12),(('Resol  Asuntos'!D12/NºAsuntos!G12)-Datos!BF12)/Datos!BF12," - ")</f>
        <v>-0.26787153217451365</v>
      </c>
      <c r="K12" s="522">
        <f>IF(ISNUMBER((((NºAsuntos!C12+NºAsuntos!E12)/NºAsuntos!G12)-Datos!BG12)/Datos!BG12),(((NºAsuntos!C12+NºAsuntos!E12)/NºAsuntos!G12)-Datos!BG12)/Datos!BG12," - ")</f>
        <v>4.5205479452054755E-2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-9.6774193548387094E-2</v>
      </c>
      <c r="D14" s="1152">
        <f>IF(ISNUMBER(
   IF(J_V="SI",(Datos!K14-Datos!U14)/Datos!U14,(Datos!K14+Datos!AA14-(Datos!U14+Datos!AI14))/(Datos!U14+Datos!AI14))
     ),IF(J_V="SI",(Datos!K14-Datos!U14)/Datos!U14,(Datos!K14+Datos!AA14-(Datos!U14+Datos!AI14))/(Datos!U14+Datos!AI14))," - ")</f>
        <v>-7.8369905956112859E-2</v>
      </c>
      <c r="E14" s="1152">
        <f>IF(ISNUMBER(
   IF(J_V="SI",(Datos!L14-Datos!V14)/Datos!V14,(Datos!L14+Datos!AB14-(Datos!V14+Datos!AJ14))/(Datos!V14+Datos!AJ14))
     ),IF(J_V="SI",(Datos!L14-Datos!V14)/Datos!V14,(Datos!L14+Datos!AB14-(Datos!V14+Datos!AJ14))/(Datos!V14+Datos!AJ14))," - ")</f>
        <v>7.3825503355704702E-2</v>
      </c>
      <c r="F14" s="1153">
        <f>IF(ISNUMBER((Datos!M14-Datos!W14)/Datos!W14),(Datos!M14-Datos!W14)/Datos!W14," - ")</f>
        <v>1.2658227848101266E-2</v>
      </c>
      <c r="G14" s="1154">
        <f>IF(ISNUMBER((Datos!N14-Datos!X14)/Datos!X14),(Datos!N14-Datos!X14)/Datos!X14," - ")</f>
        <v>0.21848739495798319</v>
      </c>
      <c r="H14" s="1154">
        <f>IF(ISNUMBER(((NºAsuntos!G14/NºAsuntos!E14)-Datos!BD14)/Datos!BD14),((NºAsuntos!G14/NºAsuntos!E14)-Datos!BD14)/Datos!BD14," - ")</f>
        <v>2.0376175548589389E-2</v>
      </c>
      <c r="I14" s="1154">
        <f>IF(ISNUMBER(((NºAsuntos!I14/NºAsuntos!G14)-Datos!BE14)/Datos!BE14),((NºAsuntos!I14/NºAsuntos!G14)-Datos!BE14)/Datos!BE14," - ")</f>
        <v>0.16513719581792444</v>
      </c>
      <c r="J14" s="1154">
        <f>IF(ISNUMBER((('Resol  Asuntos'!D14/NºAsuntos!G14)-Datos!BF14)/Datos!BF14),(('Resol  Asuntos'!D14/NºAsuntos!G14)-Datos!BF14)/Datos!BF14," - ")</f>
        <v>-0.27664399092970521</v>
      </c>
      <c r="K14" s="1154">
        <f>IF(ISNUMBER((((NºAsuntos!C14+NºAsuntos!E14)/NºAsuntos!G14)-Datos!BG14)/Datos!BG14),(((NºAsuntos!C14+NºAsuntos!E14)/NºAsuntos!G14)-Datos!BG14)/Datos!BG14," - ")</f>
        <v>4.8459833371550833E-2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-8.0168776371308023E-2</v>
      </c>
      <c r="C17" s="515">
        <f>IF(ISNUMBER(
   IF(D_I="SI",(Datos!J17-Datos!T17)/Datos!T17,(Datos!J17+Datos!AD17-(Datos!T17+Datos!AL17))/(Datos!T17+Datos!AL17))
     ),IF(D_I="SI",(Datos!J17-Datos!T17)/Datos!T17,(Datos!J17+Datos!AD17-(Datos!T17+Datos!AL17))/(Datos!T17+Datos!AL17))," - ")</f>
        <v>0.5859375</v>
      </c>
      <c r="D17" s="515">
        <f>IF(ISNUMBER(
   IF(D_I="SI",(Datos!K17-Datos!U17)/Datos!U17,(Datos!K17+Datos!AE17-(Datos!U17+Datos!AM17))/(Datos!U17+Datos!AM17))
     ),IF(D_I="SI",(Datos!K17-Datos!U17)/Datos!U17,(Datos!K17+Datos!AE17-(Datos!U17+Datos!AM17))/(Datos!U17+Datos!AM17))," - ")</f>
        <v>0.28888888888888886</v>
      </c>
      <c r="E17" s="515">
        <f>IF(ISNUMBER(
   IF(D_I="SI",(Datos!L17-Datos!V17)/Datos!V17,(Datos!L17+Datos!AF17-(Datos!V17+Datos!AN17))/(Datos!V17+Datos!AN17))
     ),IF(D_I="SI",(Datos!L17-Datos!V17)/Datos!V17,(Datos!L17+Datos!AF17-(Datos!V17+Datos!AN17))/(Datos!V17+Datos!AN17))," - ")</f>
        <v>6.7796610169491525E-2</v>
      </c>
      <c r="F17" s="515">
        <f>IF(ISNUMBER((Datos!M17-Datos!W17)/Datos!W17),(Datos!M17-Datos!W17)/Datos!W17," - ")</f>
        <v>0.4</v>
      </c>
      <c r="G17" s="516">
        <f>IF(ISNUMBER((Datos!N17-Datos!X17)/Datos!X17),(Datos!N17-Datos!X17)/Datos!X17," - ")</f>
        <v>0.44210526315789472</v>
      </c>
      <c r="H17" s="514">
        <f>IF(ISNUMBER(((NºAsuntos!G17/NºAsuntos!E17)-Datos!BD17)/Datos!BD17),((NºAsuntos!G17/NºAsuntos!E17)-Datos!BD17)/Datos!BD17," - ")</f>
        <v>-0.18730158730158736</v>
      </c>
      <c r="I17" s="515">
        <f>IF(ISNUMBER(((NºAsuntos!I17/NºAsuntos!G17)-Datos!BE17)/Datos!BE17),((NºAsuntos!I17/NºAsuntos!G17)-Datos!BE17)/Datos!BE17," - ")</f>
        <v>-0.17153711279953235</v>
      </c>
      <c r="J17" s="521">
        <f>IF(ISNUMBER((('Resol  Asuntos'!D17/NºAsuntos!G17)-Datos!BF17)/Datos!BF17),(('Resol  Asuntos'!D17/NºAsuntos!G17)-Datos!BF17)/Datos!BF17," - ")</f>
        <v>8.6206896551724199E-2</v>
      </c>
      <c r="K17" s="522">
        <f>IF(ISNUMBER((((NºAsuntos!C17+NºAsuntos!E17)/NºAsuntos!G17)-Datos!BG17)/Datos!BG17),(((NºAsuntos!C17+NºAsuntos!E17)/NºAsuntos!G17)-Datos!BG17)/Datos!BG17," - ")</f>
        <v>-0.10510155880963622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-0.30434782608695654</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0.5</v>
      </c>
      <c r="H18" s="514">
        <f>IF(ISNUMBER(((NºAsuntos!G18/NºAsuntos!E18)-Datos!BD18)/Datos!BD18),((NºAsuntos!G18/NºAsuntos!E18)-Datos!BD18)/Datos!BD18," - ")</f>
        <v>-0.38164251207729472</v>
      </c>
      <c r="I18" s="515">
        <f>IF(ISNUMBER(((NºAsuntos!I18/NºAsuntos!G18)-Datos!BE18)/Datos!BE18),((NºAsuntos!I18/NºAsuntos!G18)-Datos!BE18)/Datos!BE18," - ")</f>
        <v>1.875</v>
      </c>
      <c r="J18" s="521">
        <f>IF(ISNUMBER((('Resol  Asuntos'!D18/NºAsuntos!G18)-Datos!BF18)/Datos!BF18),(('Resol  Asuntos'!D18/NºAsuntos!G18)-Datos!BF18)/Datos!BF18," - ")</f>
        <v>0.43750000000000006</v>
      </c>
      <c r="K18" s="522">
        <f>IF(ISNUMBER((((NºAsuntos!C18+NºAsuntos!E18)/NºAsuntos!G18)-Datos!BG18)/Datos!BG18),(((NºAsuntos!C18+NºAsuntos!E18)/NºAsuntos!G18)-Datos!BG18)/Datos!BG18," - ")</f>
        <v>0.27777777777777768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-9.6774193548387094E-2</v>
      </c>
      <c r="C23" s="1152">
        <f>IF(ISNUMBER(
   IF(Criterios!B14="SI",(Datos!J23-Datos!T23)/Datos!T23,(Datos!J23+Datos!AD23-(Datos!T23+Datos!AL23))/(Datos!T23+Datos!AL23))
     ),IF(Criterios!B14="SI",(Datos!J23-Datos!T23)/Datos!T23,(Datos!J23+Datos!AD23-(Datos!T23+Datos!AL23))/(Datos!T23+Datos!AL23))," - ")</f>
        <v>0.53472222222222221</v>
      </c>
      <c r="D23" s="1152">
        <f>IF(ISNUMBER(
   IF(Criterios!B14="SI",(Datos!K23-Datos!U23)/Datos!U23,(Datos!K23+Datos!AE23-(Datos!U23+Datos!AM23))/(Datos!U23+Datos!AM23))
     ),IF(Criterios!B14="SI",(Datos!K23-Datos!U23)/Datos!U23,(Datos!K23+Datos!AE23-(Datos!U23+Datos!AM23))/(Datos!U23+Datos!AM23))," - ")</f>
        <v>0.22167487684729065</v>
      </c>
      <c r="E23" s="1152">
        <f>IF(ISNUMBER(
   IF(Criterios!B14="SI",(Datos!L23-Datos!V23)/Datos!V23,(Datos!L23+Datos!AF23-(Datos!V23+Datos!AN23))/(Datos!V23+Datos!AN23))
     ),IF(Criterios!B14="SI",(Datos!L23-Datos!V23)/Datos!V23,(Datos!L23+Datos!AF23-(Datos!V23+Datos!AN23))/(Datos!V23+Datos!AN23))," - ")</f>
        <v>8.8397790055248615E-2</v>
      </c>
      <c r="F23" s="1153">
        <f>IF(ISNUMBER((Datos!M23-Datos!W23)/Datos!W23),(Datos!M23-Datos!W23)/Datos!W23," - ")</f>
        <v>0.375</v>
      </c>
      <c r="G23" s="1154">
        <f>IF(ISNUMBER((Datos!N23-Datos!X23)/Datos!X23),(Datos!N23-Datos!X23)/Datos!X23," - ")</f>
        <v>0.44660194174757284</v>
      </c>
      <c r="H23" s="1154">
        <f>IF(ISNUMBER(((NºAsuntos!G23/NºAsuntos!E23)-Datos!BD23)/Datos!BD23),((NºAsuntos!G23/NºAsuntos!E23)-Datos!BD23)/Datos!BD23," - ")</f>
        <v>-0.20397655083253466</v>
      </c>
      <c r="I23" s="1154">
        <f>IF(ISNUMBER(((NºAsuntos!I23/NºAsuntos!G23)-Datos!BE23)/Datos!BE23),((NºAsuntos!I23/NºAsuntos!G23)-Datos!BE23)/Datos!BE23," - ")</f>
        <v>-0.10909374443058285</v>
      </c>
      <c r="J23" s="1154">
        <f>IF(ISNUMBER((('Resol  Asuntos'!D23/NºAsuntos!G23)-Datos!BF23)/Datos!BF23),(('Resol  Asuntos'!D23/NºAsuntos!G23)-Datos!BF23)/Datos!BF23," - ")</f>
        <v>0.12550403225806456</v>
      </c>
      <c r="K23" s="1154">
        <f>IF(ISNUMBER((((NºAsuntos!C23+NºAsuntos!E23)/NºAsuntos!G23)-Datos!BG23)/Datos!BG23),(((NºAsuntos!C23+NºAsuntos!E23)/NºAsuntos!G23)-Datos!BG23)/Datos!BG23," - ")</f>
        <v>-7.0780529953917051E-2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-3.1168831168831169E-2</v>
      </c>
      <c r="C31" s="1092">
        <f>IF(ISNUMBER(
   IF(J_V="SI",(Datos!J31-Datos!T31)/Datos!T31,(Datos!J31+Datos!Z31-(Datos!T31+Datos!AH31))/(Datos!T31+Datos!AH31))
     ),IF(J_V="SI",(Datos!J31-Datos!T31)/Datos!T31,(Datos!J31+Datos!Z31-(Datos!T31+Datos!AH31))/(Datos!T31+Datos!AH31))," - ")</f>
        <v>0.1182033096926714</v>
      </c>
      <c r="D31" s="1092">
        <f>IF(ISNUMBER(
   IF(J_V="SI",(Datos!K31-Datos!U31)/Datos!U31,(Datos!K31+Datos!AA31-(Datos!U31+Datos!AI31))/(Datos!U31+Datos!AI31))
     ),IF(J_V="SI",(Datos!K31-Datos!U31)/Datos!U31,(Datos!K31+Datos!AA31-(Datos!U31+Datos!AI31))/(Datos!U31+Datos!AI31))," - ")</f>
        <v>3.8314176245210725E-2</v>
      </c>
      <c r="E31" s="1092">
        <f>IF(ISNUMBER(
   IF(J_V="SI",(Datos!L31-Datos!V31)/Datos!V31,(Datos!L31+Datos!AB31-(Datos!V31+Datos!AJ31))/(Datos!V31+Datos!AJ31))
     ),IF(J_V="SI",(Datos!L31-Datos!V31)/Datos!V31,(Datos!L31+Datos!AB31-(Datos!V31+Datos!AJ31))/(Datos!V31+Datos!AJ31))," - ")</f>
        <v>7.8025477707006366E-2</v>
      </c>
      <c r="F31" s="1093">
        <f>IF(ISNUMBER((Datos!M31-Datos!W31)/Datos!W31),(Datos!M31-Datos!W31)/Datos!W31," - ")</f>
        <v>0.11711711711711711</v>
      </c>
      <c r="G31" s="1094">
        <f>IF(ISNUMBER((Datos!N31-Datos!X31)/Datos!X31),(Datos!N31-Datos!X31)/Datos!X31," - ")</f>
        <v>0.32432432432432434</v>
      </c>
      <c r="H31" s="1095">
        <f>IF(ISNUMBER((Tasas!B31-Datos!BD31)/Datos!BD31),(Tasas!B31-Datos!BD31)/Datos!BD31," - ")</f>
        <v>-7.1444193336735365E-2</v>
      </c>
      <c r="I31" s="1096">
        <f>IF(ISNUMBER((Tasas!C31-Datos!BE31)/Datos!BE31),(Tasas!C31-Datos!BE31)/Datos!BE31," - ")</f>
        <v>3.8245939784238715E-2</v>
      </c>
      <c r="J31" s="1097">
        <f>IF(ISNUMBER((Tasas!D31-Datos!BF31)/Datos!BF31),(Tasas!D31-Datos!BF31)/Datos!BF31," - ")</f>
        <v>-0.21431345892406292</v>
      </c>
      <c r="K31" s="1097">
        <f>IF(ISNUMBER((Tasas!E31-Datos!BG31)/Datos!BG31),(Tasas!E31-Datos!BG31)/Datos!BG31," - ")</f>
        <v>-1.5910771010476294E-2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UsexGh70wWb5llRCx/kwfNf+SBoz2kEc7wmdLlR6hikFUu9eUPP6QxTidjugEkwQVK3mae8ERAIKlQGJL6DYA==" saltValue="zcSpOzcoAutD8KQFjDmJ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BARCO DE VALDEORRAS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1.1821862348178138</v>
      </c>
      <c r="C12" s="498">
        <f>IF(ISNUMBER(NºAsuntos!I12/NºAsuntos!G12),NºAsuntos!I12/NºAsuntos!G12," - ")</f>
        <v>1.6130136986301369</v>
      </c>
      <c r="D12" s="499">
        <f>IF(ISNUMBER('Resol  Asuntos'!D12/NºAsuntos!G12),'Resol  Asuntos'!D12/NºAsuntos!G12," - ")</f>
        <v>0.27397260273972601</v>
      </c>
      <c r="E12" s="500">
        <f>IF(ISNUMBER((NºAsuntos!C12+NºAsuntos!E12)/NºAsuntos!G12),(NºAsuntos!C12+NºAsuntos!E12)/NºAsuntos!G12," - ")</f>
        <v>2.6130136986301369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1.1666666666666667</v>
      </c>
      <c r="C14" s="1156">
        <f>IF(ISNUMBER(NºAsuntos!I14/NºAsuntos!G14),NºAsuntos!I14/NºAsuntos!G14," - ")</f>
        <v>1.6326530612244898</v>
      </c>
      <c r="D14" s="1157">
        <f>IF(ISNUMBER('Resol  Asuntos'!D14/NºAsuntos!G14),'Resol  Asuntos'!D14/NºAsuntos!G14," - ")</f>
        <v>0.27210884353741499</v>
      </c>
      <c r="E14" s="1158">
        <f>IF(ISNUMBER((NºAsuntos!C14+NºAsuntos!E14)/NºAsuntos!G14),(NºAsuntos!C14+NºAsuntos!E14)/NºAsuntos!G14," - ")</f>
        <v>2.6326530612244898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1.1428571428571428</v>
      </c>
      <c r="C17" s="498">
        <f>IF(ISNUMBER(NºAsuntos!I17/NºAsuntos!G17),NºAsuntos!I17/NºAsuntos!G17," - ")</f>
        <v>0.81465517241379315</v>
      </c>
      <c r="D17" s="499">
        <f>IF(ISNUMBER('Resol  Asuntos'!D17/NºAsuntos!G17),'Resol  Asuntos'!D17/NºAsuntos!G17," - ")</f>
        <v>0.18103448275862069</v>
      </c>
      <c r="E17" s="500">
        <f>IF(ISNUMBER((NºAsuntos!C17+NºAsuntos!E17)/NºAsuntos!G17),(NºAsuntos!C17+NºAsuntos!E17)/NºAsuntos!G17," - ")</f>
        <v>1.8146551724137931</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0.5</v>
      </c>
      <c r="D18" s="499">
        <f>IF(ISNUMBER('Resol  Asuntos'!D18/NºAsuntos!G18),'Resol  Asuntos'!D18/NºAsuntos!G18," - ")</f>
        <v>0.125</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1.1221719457013575</v>
      </c>
      <c r="C23" s="1156">
        <f>IF(ISNUMBER(NºAsuntos!I23/NºAsuntos!G23),NºAsuntos!I23/NºAsuntos!G23," - ")</f>
        <v>0.79435483870967738</v>
      </c>
      <c r="D23" s="1159">
        <f>IF(ISNUMBER('Resol  Asuntos'!D23/NºAsuntos!G23),'Resol  Asuntos'!D23/NºAsuntos!G23," - ")</f>
        <v>0.17741935483870969</v>
      </c>
      <c r="E23" s="1158">
        <f>IF(ISNUMBER((NºAsuntos!C23+NºAsuntos!E23)/NºAsuntos!G23),(NºAsuntos!C23+NºAsuntos!E23)/NºAsuntos!G23," - ")</f>
        <v>1.7943548387096775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1.1458773784355181</v>
      </c>
      <c r="C31" s="1099">
        <f>IF(ISNUMBER(NºAsuntos!I31/NºAsuntos!G31),NºAsuntos!I31/NºAsuntos!G31," - ")</f>
        <v>1.2490774907749078</v>
      </c>
      <c r="D31" s="1100">
        <f>IF(ISNUMBER('Resol  Asuntos'!D31/NºAsuntos!G31),'Resol  Asuntos'!D31/NºAsuntos!G31," - ")</f>
        <v>0.22878228782287824</v>
      </c>
      <c r="E31" s="1101">
        <f>IF(ISNUMBER((NºAsuntos!C31+NºAsuntos!E31)/NºAsuntos!G31),(NºAsuntos!C31+NºAsuntos!E31)/NºAsuntos!G31," - ")</f>
        <v>2.2490774907749076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wk0UDwbn1+xdfo1vjrw97iDKXqMKw/TkBBipcX6FOoxqLViYQdqsh58HFZD1ph4e+7ToHNpuRKllK/NimTIXA==" saltValue="m8vcKj1N34OexPTaq9jD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BARCO DE VALDEORRAS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13.5</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1.1821862348178138</v>
      </c>
      <c r="AM12" s="284">
        <f>IF(ISNUMBER(((NºAsuntos!I12/NºAsuntos!G12)*11)/factor_trimestre),((NºAsuntos!I12/NºAsuntos!G12)*11)/factor_trimestre," - ")</f>
        <v>4.8390410958904111</v>
      </c>
      <c r="AN12" s="267">
        <f>IF(ISNUMBER('Resol  Asuntos'!D12/NºAsuntos!G12),'Resol  Asuntos'!D12/NºAsuntos!G12," - ")</f>
        <v>0.27397260273972601</v>
      </c>
      <c r="AO12" s="268">
        <f>IF(ISNUMBER((NºAsuntos!C12+NºAsuntos!E12)/NºAsuntos!G12),(NºAsuntos!C12+NºAsuntos!E12)/NºAsuntos!G12," - ")</f>
        <v>2.6130136986301369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38</v>
      </c>
      <c r="Y14" s="1165">
        <f t="shared" si="6"/>
        <v>40</v>
      </c>
      <c r="Z14" s="1165">
        <f t="shared" si="6"/>
        <v>0</v>
      </c>
      <c r="AA14" s="1165">
        <f t="shared" si="6"/>
        <v>9</v>
      </c>
      <c r="AB14" s="1165">
        <f t="shared" si="6"/>
        <v>772</v>
      </c>
      <c r="AC14" s="1165">
        <f t="shared" si="6"/>
        <v>9</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1.1666666666666667</v>
      </c>
      <c r="AM14" s="1171">
        <f>IF(ISNUMBER(((NºAsuntos!I14/NºAsuntos!G14)*11)/factor_trimestre),((NºAsuntos!I14/NºAsuntos!G14)*11)/factor_trimestre," - ")</f>
        <v>4.8979591836734704</v>
      </c>
      <c r="AN14" s="1172">
        <f>IF(ISNUMBER('Resol  Asuntos'!D14/NºAsuntos!G14),'Resol  Asuntos'!D14/NºAsuntos!G14," - ")</f>
        <v>0.27210884353741499</v>
      </c>
      <c r="AO14" s="1173">
        <f>IF(ISNUMBER((NºAsuntos!C14+NºAsuntos!E14)/NºAsuntos!G14),(NºAsuntos!C14+NºAsuntos!E14)/NºAsuntos!G14," - ")</f>
        <v>2.6326530612244898</v>
      </c>
      <c r="AP14" s="1174" t="str">
        <f t="shared" si="2"/>
        <v xml:space="preserve"> - </v>
      </c>
      <c r="AQ14" s="1174">
        <f>IF(ISNUMBER((H14-W14+K14)/(F14)),(H14-W14+K14)/(F14)," - ")</f>
        <v>-0.33333333333333331</v>
      </c>
      <c r="AR14" s="1175">
        <f>IF(ISNUMBER((Datos!P14-Datos!Q14)/(Datos!R14-Datos!P14+Datos!Q14)),(Datos!P14-Datos!Q14)/(Datos!R14-Datos!P14+Datos!Q14)," - ")</f>
        <v>2.9333333333333333E-2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218</v>
      </c>
      <c r="G17" s="373">
        <f>IF(ISNUMBER(IF(D_I="SI",Datos!I17,Datos!I17+Datos!AC17)),IF(D_I="SI",Datos!I17,Datos!I17+Datos!AC17)," - ")</f>
        <v>218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v>
      </c>
      <c r="X17" s="240">
        <f>IF(ISNUMBER(Datos!Q17),Datos!Q17," - ")</f>
        <v>7</v>
      </c>
      <c r="Y17" s="374">
        <f t="shared" ref="Y17:Y22" si="9">SUM(W17:X17)</f>
        <v>239</v>
      </c>
      <c r="Z17" s="375" t="str">
        <f>IF(ISNUMBER(Datos!CC17),Datos!CC17," - ")</f>
        <v xml:space="preserve"> - </v>
      </c>
      <c r="AA17" s="372">
        <f>IF(ISNUMBER(IF(D_I="SI",Datos!L17,Datos!L17+Datos!AF17)),IF(D_I="SI",Datos!L17,Datos!L17+Datos!AF17)," - ")</f>
        <v>189</v>
      </c>
      <c r="AB17" s="374">
        <f>IF(ISNUMBER(Datos!R17),Datos!R17," - ")</f>
        <v>30</v>
      </c>
      <c r="AC17" s="374">
        <f t="shared" si="8"/>
        <v>219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42</v>
      </c>
      <c r="AJ17" s="245" t="str">
        <f>IF(ISNUMBER(Datos!BW17),Datos!BW17," - ")</f>
        <v xml:space="preserve"> - </v>
      </c>
      <c r="AK17" s="246" t="str">
        <f>IF(ISNUMBER(Datos!BX17),Datos!BX17," - ")</f>
        <v xml:space="preserve"> - </v>
      </c>
      <c r="AL17" s="266">
        <f>IF(ISNUMBER(NºAsuntos!G17/NºAsuntos!E17),NºAsuntos!G17/NºAsuntos!E17," - ")</f>
        <v>1.1428571428571428</v>
      </c>
      <c r="AM17" s="284">
        <f>IF(ISNUMBER(((NºAsuntos!I17/NºAsuntos!G17)*11)/factor_trimestre),((NºAsuntos!I17/NºAsuntos!G17)*11)/factor_trimestre," - ")</f>
        <v>2.4439655172413794</v>
      </c>
      <c r="AN17" s="267">
        <f>IF(ISNUMBER('Resol  Asuntos'!D17/NºAsuntos!G17),'Resol  Asuntos'!D17/NºAsuntos!G17," - ")</f>
        <v>0.18103448275862069</v>
      </c>
      <c r="AO17" s="268">
        <f>IF(ISNUMBER((NºAsuntos!C17+NºAsuntos!E17)/NºAsuntos!G17),(NºAsuntos!C17+NºAsuntos!E17)/NºAsuntos!G17," - ")</f>
        <v>1.8146551724137931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8</v>
      </c>
      <c r="AB18" s="374">
        <f>IF(ISNUMBER(Datos!R18),Datos!R18," - ")</f>
        <v>2</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1.5</v>
      </c>
      <c r="AN18" s="267">
        <f>IF(ISNUMBER('Resol  Asuntos'!D18/NºAsuntos!G18),'Resol  Asuntos'!D18/NºAsuntos!G18," - ")</f>
        <v>0.125</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218</v>
      </c>
      <c r="G23" s="1163">
        <f>SUBTOTAL(9,G16:G22)</f>
        <v>224</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248</v>
      </c>
      <c r="X23" s="1164">
        <f t="shared" si="14"/>
        <v>7</v>
      </c>
      <c r="Y23" s="1165">
        <f t="shared" si="14"/>
        <v>255</v>
      </c>
      <c r="Z23" s="1165">
        <f t="shared" si="14"/>
        <v>0</v>
      </c>
      <c r="AA23" s="1165">
        <f t="shared" si="14"/>
        <v>197</v>
      </c>
      <c r="AB23" s="1165">
        <f t="shared" si="14"/>
        <v>32</v>
      </c>
      <c r="AC23" s="1165">
        <f t="shared" si="14"/>
        <v>229</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1.1221719457013575</v>
      </c>
      <c r="AM23" s="1171">
        <f>IF(ISNUMBER(((NºAsuntos!I23/NºAsuntos!G23)*11)/factor_trimestre),((NºAsuntos!I23/NºAsuntos!G23)*11)/factor_trimestre," - ")</f>
        <v>2.3830645161290325</v>
      </c>
      <c r="AN23" s="1172">
        <f>IF(ISNUMBER('Resol  Asuntos'!D23/NºAsuntos!G23),'Resol  Asuntos'!D23/NºAsuntos!G23," - ")</f>
        <v>0.17741935483870969</v>
      </c>
      <c r="AO23" s="1173">
        <f>IF(ISNUMBER((NºAsuntos!C23+NºAsuntos!E23)/NºAsuntos!G23),(NºAsuntos!C23+NºAsuntos!E23)/NºAsuntos!G23," - ")</f>
        <v>1.7943548387096775</v>
      </c>
      <c r="AP23" s="1174" t="str">
        <f t="shared" si="2"/>
        <v xml:space="preserve"> - </v>
      </c>
      <c r="AQ23" s="1174">
        <f>IF(ISNUMBER((H23-W23+K23)/(F23)),(H23-W23+K23)/(F23)," - ")</f>
        <v>-1.1376146788990826</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224</v>
      </c>
      <c r="G31" s="1118">
        <f t="shared" si="20"/>
        <v>230</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45</v>
      </c>
      <c r="Y31" s="1125">
        <f t="shared" si="21"/>
        <v>295</v>
      </c>
      <c r="Z31" s="1125">
        <f t="shared" si="21"/>
        <v>0</v>
      </c>
      <c r="AA31" s="1125">
        <f t="shared" si="21"/>
        <v>206</v>
      </c>
      <c r="AB31" s="1125">
        <f t="shared" si="21"/>
        <v>804</v>
      </c>
      <c r="AC31" s="1125">
        <f t="shared" si="21"/>
        <v>238</v>
      </c>
      <c r="AD31" s="1125">
        <f t="shared" si="21"/>
        <v>0</v>
      </c>
      <c r="AE31" s="1127">
        <f t="shared" si="21"/>
        <v>0</v>
      </c>
      <c r="AF31" s="1128">
        <f t="shared" si="21"/>
        <v>0</v>
      </c>
      <c r="AG31" s="1129">
        <f t="shared" si="21"/>
        <v>0</v>
      </c>
      <c r="AH31" s="1127">
        <f t="shared" si="21"/>
        <v>0</v>
      </c>
      <c r="AI31" s="1117">
        <f t="shared" si="21"/>
        <v>124</v>
      </c>
      <c r="AJ31" s="1117">
        <f t="shared" si="21"/>
        <v>0</v>
      </c>
      <c r="AK31" s="1127">
        <f t="shared" si="21"/>
        <v>0</v>
      </c>
      <c r="AL31" s="1183">
        <f>IF(ISNUMBER(NºAsuntos!G31/NºAsuntos!E31),NºAsuntos!G31/NºAsuntos!E31," - ")</f>
        <v>1.1458773784355181</v>
      </c>
      <c r="AM31" s="1184">
        <f>IF(ISNUMBER(((NºAsuntos!I31/NºAsuntos!G31)*11)/factor_trimestre),((NºAsuntos!I31/NºAsuntos!G31)*11)/factor_trimestre," - ")</f>
        <v>3.7472324723247237</v>
      </c>
      <c r="AN31" s="1184">
        <f>IF(ISNUMBER('Resol  Asuntos'!D31/NºAsuntos!G31),'Resol  Asuntos'!D31/NºAsuntos!G31," - ")</f>
        <v>0.22878228782287824</v>
      </c>
      <c r="AO31" s="1185">
        <f>IF(ISNUMBER((NºAsuntos!C31+NºAsuntos!E31)/NºAsuntos!G31),(NºAsuntos!C31+NºAsuntos!E31)/NºAsuntos!G31," - ")</f>
        <v>2.2490774907749076</v>
      </c>
      <c r="AP31" s="1186" t="str">
        <f t="shared" si="2"/>
        <v xml:space="preserve"> - </v>
      </c>
      <c r="AQ31" s="1187">
        <f>IF(OR(ISNUMBER(FIND("01",Criterios!A8,1)),ISNUMBER(FIND("02",Criterios!A8,1)),ISNUMBER(FIND("03",Criterios!A8,1)),ISNUMBER(FIND("04",Criterios!A8,1))),(I31-W31+K31)/(F31-K31),(H31-W31+K31)/(F31-K31))</f>
        <v>-1.1160714285714286</v>
      </c>
      <c r="AR31" s="1188">
        <f>IF(ISNUMBER((Datos!P31-Datos!Q31)/(Datos!R31-Datos!P31+Datos!Q31)),(Datos!P31-Datos!Q31)/(Datos!R31-Datos!P31+Datos!Q31)," - ")</f>
        <v>2.9449423815621E-2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111.05794283466027</v>
      </c>
      <c r="G33" s="277">
        <f>IF(ISNUMBER(STDEV(G8:G30)),STDEV(G8:G30),"-")</f>
        <v>106.12840380990424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115.38176797463446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35.488428697655401</v>
      </c>
      <c r="AJ33" s="276">
        <f t="shared" si="25"/>
        <v>0</v>
      </c>
      <c r="AK33" s="278">
        <f t="shared" si="25"/>
        <v>0</v>
      </c>
      <c r="AL33" s="273">
        <f t="shared" si="25"/>
        <v>0.30563829762156131</v>
      </c>
      <c r="AM33" s="274">
        <f t="shared" si="25"/>
        <v>4.4246198806103738</v>
      </c>
      <c r="AN33" s="274">
        <f t="shared" si="25"/>
        <v>0.1022967947479943</v>
      </c>
      <c r="AO33" s="275">
        <f t="shared" si="25"/>
        <v>1.4748732935367914</v>
      </c>
      <c r="AP33" s="317" t="str">
        <f t="shared" si="25"/>
        <v>-</v>
      </c>
      <c r="AQ33" s="318">
        <f t="shared" si="25"/>
        <v>0.56871279343138237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PgCPCASteFx7B+AbKOMickApxVCDgjCzHRDN/dje586vTrwtgJobFGECZaMXz4yqVlxJYHa5icaYj+vnxYOeQ==" saltValue="kryZ7GlzBX6wKqEJtd2Z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BARCO DE VALDEORRAS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4</v>
      </c>
      <c r="F10" s="393">
        <f>IF(ISNUMBER((Datos!K10-Datos!U10)/Datos!U10),(Datos!K10-Datos!U10)/Datos!U10," - ")</f>
        <v>1</v>
      </c>
      <c r="G10" s="394">
        <f>IF(ISNUMBER((Datos!L10-Datos!V10)/Datos!V10),(Datos!L10-Datos!V10)/Datos!V10," - ")</f>
        <v>0.8</v>
      </c>
      <c r="H10" s="244">
        <f>IF(ISNUMBER((Datos!M10-Datos!W10)/Datos!W10),(Datos!M10-Datos!W10)/Datos!W10," - ")</f>
        <v>-1</v>
      </c>
      <c r="I10" s="395">
        <f>IF(ISNUMBER((Tasas!C10-Datos!BE10)/Datos!BE10),(Tasas!C10-Datos!BE10)/Datos!BE10," - ")</f>
        <v>-0.1</v>
      </c>
      <c r="J10" s="394">
        <f>IF(ISNUMBER((Tasas!D10-Datos!BF10)/Datos!BF10),(Tasas!D10-Datos!BF10)/Datos!BF10," - ")</f>
        <v>-1</v>
      </c>
      <c r="K10" s="396">
        <f>IF(ISNUMBER((Tasas!E10-Datos!BG10)/Datos!BG10),(Tasas!E10-Datos!BG10)/Datos!BG10," - ")</f>
        <v>-8.3333333333333329E-2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2.564102564102564E-2</v>
      </c>
      <c r="I12" s="395">
        <f>IF(ISNUMBER((Tasas!C12-Datos!BE12)/Datos!BE12),(Tasas!C12-Datos!BE12)/Datos!BE12," - ")</f>
        <v>0.16049401847145603</v>
      </c>
      <c r="J12" s="394">
        <f>IF(ISNUMBER((Tasas!D12-Datos!BF12)/Datos!BF12),(Tasas!D12-Datos!BF12)/Datos!BF12," - ")</f>
        <v>-0.26787153217451365</v>
      </c>
      <c r="K12" s="396">
        <f>IF(ISNUMBER((Tasas!E12-Datos!BG12)/Datos!BG12),(Tasas!E12-Datos!BG12)/Datos!BG12," - ")</f>
        <v>4.5205479452054755E-2</v>
      </c>
      <c r="M12" t="e">
        <f>IF(Monitorios="SI",Datos!CE12,0)</f>
        <v>#REF!</v>
      </c>
      <c r="N12" t="e">
        <f>IF(Monitorios="SI",Datos!CF12,0)</f>
        <v>#REF!</v>
      </c>
      <c r="O12" t="e">
        <f>IF(Monitorios="SI",Datos!CG12,0)</f>
        <v>#REF!</v>
      </c>
      <c r="P12" t="e">
        <f>IF(Monitorios="SI",Datos!CH12,0)</f>
        <v>#REF!</v>
      </c>
      <c r="Q12">
        <f>IF(J_V="SI",0,Datos!AG12)</f>
        <v>90</v>
      </c>
      <c r="R12">
        <f>IF(J_V="SI",0,Datos!AH12)</f>
        <v>44</v>
      </c>
      <c r="S12">
        <f>IF(J_V="SI",0,Datos!AI12)</f>
        <v>70</v>
      </c>
      <c r="T12">
        <f>IF(J_V="SI",0,Datos!AJ12)</f>
        <v>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1.2658227848101266E-2</v>
      </c>
      <c r="I14" s="402">
        <f>IF(ISNUMBER((Tasas!C14-Datos!BE14)/Datos!BE14),(Tasas!C14-Datos!BE14)/Datos!BE14," - ")</f>
        <v>0.16513719581792444</v>
      </c>
      <c r="J14" s="400">
        <f>IF(ISNUMBER((Tasas!D14-Datos!BF14)/Datos!BF14),(Tasas!D14-Datos!BF14)/Datos!BF14," - ")</f>
        <v>-0.27664399092970521</v>
      </c>
      <c r="K14" s="403">
        <f>IF(ISNUMBER((Tasas!E14-Datos!BG14)/Datos!BG14),(Tasas!E14-Datos!BG14)/Datos!BG14," - ")</f>
        <v>4.8459833371550833E-2</v>
      </c>
      <c r="M14" t="e">
        <f>IF(Monitorios="SI",Datos!CE14,0)</f>
        <v>#REF!</v>
      </c>
      <c r="N14" t="e">
        <f>IF(Monitorios="SI",Datos!CF14,0)</f>
        <v>#REF!</v>
      </c>
      <c r="O14" t="e">
        <f>IF(Monitorios="SI",Datos!CG14,0)</f>
        <v>#REF!</v>
      </c>
      <c r="P14" t="e">
        <f>IF(Monitorios="SI",Datos!CH14,0)</f>
        <v>#REF!</v>
      </c>
      <c r="Q14">
        <f>IF(J_V="SI",0,Datos!AG14)</f>
        <v>90</v>
      </c>
      <c r="R14">
        <f>IF(J_V="SI",0,Datos!AH14)</f>
        <v>44</v>
      </c>
      <c r="S14">
        <f>IF(J_V="SI",0,Datos!AI14)</f>
        <v>70</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-8.0168776371308023E-2</v>
      </c>
      <c r="E17" s="393">
        <f>IF(ISNUMBER(
   IF(D_I="SI",(Datos!J17-Datos!T17)/Datos!T17,(Datos!J17+Datos!AD17-(Datos!T17+Datos!AL17))/(Datos!T17+Datos!AL17))
     ),IF(D_I="SI",(Datos!J17-Datos!T17)/Datos!T17,(Datos!J17+Datos!AD17-(Datos!T17+Datos!AL17))/(Datos!T17+Datos!AL17))," - ")</f>
        <v>0.5859375</v>
      </c>
      <c r="F17" s="393">
        <f>IF(ISNUMBER(
   IF(D_I="SI",(Datos!K17-Datos!U17)/Datos!U17,(Datos!K17+Datos!AE17-(Datos!U17+Datos!AM17))/(Datos!U17+Datos!AM17))
     ),IF(D_I="SI",(Datos!K17-Datos!U17)/Datos!U17,(Datos!K17+Datos!AE17-(Datos!U17+Datos!AM17))/(Datos!U17+Datos!AM17))," - ")</f>
        <v>0.28888888888888886</v>
      </c>
      <c r="G17" s="394">
        <f>IF(ISNUMBER(
   IF(D_I="SI",(Datos!L17-Datos!V17)/Datos!V17,(Datos!L17+Datos!AF17-(Datos!V17+Datos!AN17))/(Datos!V17+Datos!AN17))
     ),IF(D_I="SI",(Datos!L17-Datos!V17)/Datos!V17,(Datos!L17+Datos!AF17-(Datos!V17+Datos!AN17))/(Datos!V17+Datos!AN17))," - ")</f>
        <v>6.7796610169491525E-2</v>
      </c>
      <c r="H17" s="244">
        <f>IF(ISNUMBER((Datos!M17-Datos!W17)/Datos!W17),(Datos!M17-Datos!W17)/Datos!W17," - ")</f>
        <v>0.4</v>
      </c>
      <c r="I17" s="395">
        <f>IF(ISNUMBER((Tasas!C17-Datos!BE17)/Datos!BE17),(Tasas!C17-Datos!BE17)/Datos!BE17," - ")</f>
        <v>-0.17153711279953235</v>
      </c>
      <c r="J17" s="394">
        <f>IF(ISNUMBER((Tasas!D17-Datos!BF17)/Datos!BF17),(Tasas!D17-Datos!BF17)/Datos!BF17," - ")</f>
        <v>8.6206896551724199E-2</v>
      </c>
      <c r="K17" s="396">
        <f>IF(ISNUMBER((Tasas!E17-Datos!BG17)/Datos!BG17),(Tasas!E17-Datos!BG17)/Datos!BG17," - ")</f>
        <v>-0.10510155880963622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-0.30434782608695654</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1.875</v>
      </c>
      <c r="J18" s="394">
        <f>IF(ISNUMBER((Tasas!D18-Datos!BF18)/Datos!BF18),(Tasas!D18-Datos!BF18)/Datos!BF18," - ")</f>
        <v>0.43750000000000006</v>
      </c>
      <c r="K18" s="396">
        <f>IF(ISNUMBER((Tasas!E18-Datos!BG18)/Datos!BG18),(Tasas!E18-Datos!BG18)/Datos!BG18," - ")</f>
        <v>0.27777777777777768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-9.6774193548387094E-2</v>
      </c>
      <c r="E23" s="399">
        <f>IF(ISNUMBER(
   IF(D_I="SI",(Datos!J23-Datos!T23)/Datos!T23,(Datos!J23+Datos!AD23-(Datos!T23+Datos!AL23))/(Datos!T23+Datos!AL23))
     ),IF(D_I="SI",(Datos!J23-Datos!T23)/Datos!T23,(Datos!J23+Datos!AD23-(Datos!T23+Datos!AL23))/(Datos!T23+Datos!AL23))," - ")</f>
        <v>0.53472222222222221</v>
      </c>
      <c r="F23" s="399">
        <f>IF(ISNUMBER(
   IF(D_I="SI",(Datos!K23-Datos!U23)/Datos!U23,(Datos!K23+Datos!AE23-(Datos!U23+Datos!AM23))/(Datos!U23+Datos!AM23))
     ),IF(D_I="SI",(Datos!K23-Datos!U23)/Datos!U23,(Datos!K23+Datos!AE23-(Datos!U23+Datos!AM23))/(Datos!U23+Datos!AM23))," - ")</f>
        <v>0.22167487684729065</v>
      </c>
      <c r="G23" s="400">
        <f>IF(ISNUMBER(
   IF(D_I="SI",(Datos!L23-Datos!V23)/Datos!V23,(Datos!L23+Datos!AF23-(Datos!V23+Datos!AN23))/(Datos!V23+Datos!AN23))
     ),IF(D_I="SI",(Datos!L23-Datos!V23)/Datos!V23,(Datos!L23+Datos!AF23-(Datos!V23+Datos!AN23))/(Datos!V23+Datos!AN23))," - ")</f>
        <v>8.8397790055248615E-2</v>
      </c>
      <c r="H23" s="401">
        <f>IF(ISNUMBER((Datos!M23-Datos!W23)/Datos!W23),(Datos!M23-Datos!W23)/Datos!W23," - ")</f>
        <v>0.375</v>
      </c>
      <c r="I23" s="402">
        <f>IF(ISNUMBER((Tasas!C23-Datos!BE23)/Datos!BE23),(Tasas!C23-Datos!BE23)/Datos!BE23," - ")</f>
        <v>-0.10909374443058285</v>
      </c>
      <c r="J23" s="400">
        <f>IF(ISNUMBER((Tasas!D23-Datos!BF23)/Datos!BF23),(Tasas!D23-Datos!BF23)/Datos!BF23," - ")</f>
        <v>0.12550403225806456</v>
      </c>
      <c r="K23" s="403">
        <f>IF(ISNUMBER((Tasas!E23-Datos!BG23)/Datos!BG23),(Tasas!E23-Datos!BG23)/Datos!BG23," - ")</f>
        <v>-7.0780529953917051E-2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-3.1168831168831169E-2</v>
      </c>
      <c r="E31" s="409">
        <f>IF(ISNUMBER(
   IF(J_V="SI",(Datos!J31-Datos!T31)/Datos!T31,(Datos!J31+Datos!Z31-(Datos!T31+Datos!AH31))/(Datos!T31+Datos!AH31))
     ),IF(J_V="SI",(Datos!J31-Datos!T31)/Datos!T31,(Datos!J31+Datos!Z31-(Datos!T31+Datos!AH31))/(Datos!T31+Datos!AH31))," - ")</f>
        <v>0.1182033096926714</v>
      </c>
      <c r="F31" s="409">
        <f>IF(ISNUMBER(
   IF(J_V="SI",(Datos!K31-Datos!U31)/Datos!U31,(Datos!K31+Datos!AA31-(Datos!U31+Datos!AI31))/(Datos!U31+Datos!AI31))
     ),IF(J_V="SI",(Datos!K31-Datos!U31)/Datos!U31,(Datos!K31+Datos!AA31-(Datos!U31+Datos!AI31))/(Datos!U31+Datos!AI31))," - ")</f>
        <v>3.8314176245210725E-2</v>
      </c>
      <c r="G31" s="410">
        <f>IF(ISNUMBER(
   IF(J_V="SI",(Datos!L31-Datos!V31)/Datos!V31,(Datos!L31+Datos!AB31-(Datos!V31+Datos!AJ31))/(Datos!V31+Datos!AJ31))
     ),IF(J_V="SI",(Datos!L31-Datos!V31)/Datos!V31,(Datos!L31+Datos!AB31-(Datos!V31+Datos!AJ31))/(Datos!V31+Datos!AJ31))," - ")</f>
        <v>7.8025477707006366E-2</v>
      </c>
      <c r="H31" s="411">
        <f>IF(ISNUMBER((Datos!M31-Datos!W31)/Datos!W31),(Datos!M31-Datos!W31)/Datos!W31," - ")</f>
        <v>0.11711711711711711</v>
      </c>
      <c r="I31" s="408">
        <f>IF(ISNUMBER((Tasas!C31-Datos!BE31)/Datos!BE31),(Tasas!C31-Datos!BE31)/Datos!BE31," - ")</f>
        <v>3.8245939784238715E-2</v>
      </c>
      <c r="J31" s="409">
        <f>IF(ISNUMBER((Tasas!D31-Datos!BF31)/Datos!BF31),(Tasas!D31-Datos!BF31)/Datos!BF31," - ")</f>
        <v>-0.21431345892406292</v>
      </c>
      <c r="K31" s="410">
        <f>IF(ISNUMBER((Tasas!E31-Datos!BG31)/Datos!BG31),(Tasas!E31-Datos!BG31)/Datos!BG31," - ")</f>
        <v>-1.5910771010476294E-2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0.26824011779118917</v>
      </c>
      <c r="E33" s="303">
        <f t="shared" si="1"/>
        <v>1.8042208963528081</v>
      </c>
      <c r="F33" s="303">
        <f t="shared" si="1"/>
        <v>0.53587464862801959</v>
      </c>
      <c r="G33" s="304">
        <f t="shared" si="1"/>
        <v>0.48157256869879544</v>
      </c>
      <c r="H33" s="310">
        <f t="shared" si="1"/>
        <v>0.50904482411739704</v>
      </c>
      <c r="I33" s="302">
        <f t="shared" si="1"/>
        <v>0.78331515576638322</v>
      </c>
      <c r="J33" s="303">
        <f t="shared" si="1"/>
        <v>0.4958389141308624</v>
      </c>
      <c r="K33" s="304">
        <f t="shared" si="1"/>
        <v>0.14314599208472942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VPxVK4YApsZSC3B1UF8Pm84AmgCcI9q7I3Y2JBADx1FuHXMRb1wQltt/TtIwa8Pg1jW9PRP8bZA3Qj4slNB3Q==" saltValue="NyLAcsZw6RhV1NX2tknh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